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Transactions'!$A$1:$T$46</definedName>
    <definedName name="Query_from_MS_Access_Database" localSheetId="0" hidden="1">'Federal Funds Transactions'!$A$15:$T$26</definedName>
    <definedName name="Query_from_MS_Access_Database" localSheetId="1" hidden="1">'Regional Loans and Transfers'!$A$11:$T$33</definedName>
    <definedName name="Query_from_MS_Access_Database_1" localSheetId="0" hidden="1">'Federal Funds Transactions'!$A$31:$T$35</definedName>
    <definedName name="Query_from_MS_Access_Database_1" localSheetId="1" hidden="1">'Regional Loans and Transfers'!$A$36:$S$58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I25" i="1"/>
  <c r="I26" i="1"/>
  <c r="U16" i="1"/>
  <c r="U17" i="1"/>
  <c r="U18" i="1"/>
  <c r="U19" i="1"/>
  <c r="U20" i="1"/>
  <c r="U21" i="1"/>
  <c r="U22" i="1"/>
  <c r="U23" i="1"/>
  <c r="U24" i="1"/>
  <c r="U25" i="1"/>
  <c r="U26" i="1"/>
  <c r="I32" i="1"/>
  <c r="I33" i="1"/>
  <c r="I34" i="1"/>
  <c r="I35" i="1"/>
  <c r="U32" i="1"/>
  <c r="V32" i="1" s="1"/>
  <c r="V33" i="1" s="1"/>
  <c r="V34" i="1" s="1"/>
  <c r="V35" i="1" s="1"/>
  <c r="U33" i="1"/>
  <c r="U34" i="1"/>
  <c r="U35" i="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27" i="1" l="1"/>
  <c r="O27" i="1"/>
  <c r="P27" i="1"/>
  <c r="Q27" i="1"/>
  <c r="R27" i="1"/>
  <c r="S27" i="1"/>
  <c r="T27" i="1"/>
  <c r="N36" i="1"/>
  <c r="O36" i="1"/>
  <c r="P36" i="1"/>
  <c r="Q36" i="1"/>
  <c r="R36" i="1"/>
  <c r="S36" i="1"/>
  <c r="T36" i="1"/>
  <c r="Q38" i="1" l="1"/>
  <c r="T38" i="1"/>
  <c r="P38" i="1"/>
  <c r="S38" i="1"/>
  <c r="O38" i="1"/>
  <c r="R38" i="1"/>
  <c r="N38" i="1"/>
  <c r="U43" i="1"/>
  <c r="U11" i="1" l="1"/>
  <c r="U7" i="1"/>
  <c r="U9" i="1"/>
  <c r="U8" i="1"/>
  <c r="U10" i="1"/>
  <c r="U27" i="1"/>
  <c r="N12" i="1"/>
  <c r="N28" i="1" s="1"/>
  <c r="U6" i="1"/>
  <c r="U36" i="1" l="1"/>
  <c r="U38" i="1" s="1"/>
  <c r="S12" i="1" l="1"/>
  <c r="S28" i="1" s="1"/>
  <c r="S37" i="1" s="1"/>
  <c r="R12" i="1"/>
  <c r="R28" i="1" s="1"/>
  <c r="R37" i="1" s="1"/>
  <c r="V43" i="1" l="1"/>
  <c r="Q5" i="1" l="1"/>
  <c r="U5" i="1" l="1"/>
  <c r="V5" i="1" s="1"/>
  <c r="D11" i="2"/>
  <c r="D13" i="2" s="1"/>
  <c r="B5" i="3" l="1"/>
  <c r="R42" i="1" l="1"/>
  <c r="R44" i="1" l="1"/>
  <c r="R45" i="1"/>
  <c r="P12" i="1"/>
  <c r="P28" i="1" l="1"/>
  <c r="P37" i="1" s="1"/>
  <c r="A7" i="3"/>
  <c r="Q12" i="1" l="1"/>
  <c r="P42" i="1" l="1"/>
  <c r="P44" i="1" s="1"/>
  <c r="Q28" i="1"/>
  <c r="Q37" i="1" s="1"/>
  <c r="Q42" i="1" s="1"/>
  <c r="P45" i="1" l="1"/>
  <c r="Q45" i="1"/>
  <c r="Q44" i="1"/>
  <c r="A1" i="3"/>
  <c r="O12" i="1" l="1"/>
  <c r="O28" i="1" s="1"/>
  <c r="O37" i="1" s="1"/>
  <c r="O42" i="1" s="1"/>
  <c r="O44" i="1" l="1"/>
  <c r="O45" i="1"/>
  <c r="T12" i="1"/>
  <c r="S42" i="1" l="1"/>
  <c r="S44" i="1" s="1"/>
  <c r="T28" i="1"/>
  <c r="T37" i="1" s="1"/>
  <c r="T42" i="1" s="1"/>
  <c r="N37" i="1"/>
  <c r="N42" i="1" s="1"/>
  <c r="U12" i="1"/>
  <c r="U28" i="1" s="1"/>
  <c r="U37" i="1" s="1"/>
  <c r="V12" i="1"/>
  <c r="V16" i="1" s="1"/>
  <c r="V17" i="1" s="1"/>
  <c r="V18" i="1" s="1"/>
  <c r="V19" i="1" s="1"/>
  <c r="V20" i="1" s="1"/>
  <c r="V21" i="1" s="1"/>
  <c r="V22" i="1" s="1"/>
  <c r="V23" i="1" s="1"/>
  <c r="V24" i="1" s="1"/>
  <c r="V25" i="1" s="1"/>
  <c r="V26" i="1" s="1"/>
  <c r="U42" i="1" l="1"/>
  <c r="S45" i="1"/>
  <c r="T45" i="1"/>
  <c r="T44" i="1"/>
  <c r="N45" i="1"/>
  <c r="N44" i="1"/>
  <c r="U44" i="1" l="1"/>
  <c r="V42" i="1" l="1"/>
  <c r="V44"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lt;&gt;'Trick') AND (`09-YMPO LEDGER`.`Finance Authorization`&gt;=#10/1/2018# AND `09-YMPO LEDGER`.`Finance Authorization`&lt;=#9/30/2019#)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HURF EXCHANGE`, `09-YMPOqryLedgerApportsCrosstab`.HSIP, `09-YMPOqryLedgerApportsCrosstab`.PLAN, `09-YMPOqryLedgerApportsCrosstab`.SPR, `09-YMPOqryLedgerApportsCrosstab`.`STP &lt;5`, `09-YMPOqryLedgerApportsCrosstab`.`STP 5-2`, `09-YMPOqryLedgerApportsCrosstab`.`STP Flex`, `09-YMPOqryLedgerApportsCrosstab`.`TAP &lt;5`, `09-YMPOqryLedgerApportsCrosstab`.`TAP 5-2`, `09-YMPOqryLedgerApportsCrosstab`.`TAP Flex`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HURF EXCHANGE`, `09-YMPOqryLedgerOACrosstab`.HSIP, `09-YMPOqryLedgerOACrosstab`.PLAN, `09-YMPOqryLedgerOACrosstab`.SPR, `09-YMPOqryLedgerOACrosstab`.`STP &lt;5`, `09-YMPOqryLedgerOACrosstab`.`STP 5-2`, `09-YMPOqryLedgerOACrosstab`.`STP Flex`, `09-YMPOqryLedgerOACrosstab`.`TAP &lt;5`, `09-YMPOqryLedgerOACrosstab`.`TAP 5-2`, `09-YMPOqryLedgerOACrosstab`.`TAP Flex`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 Not Like 'Trick') AND (`09-YMPO LEDGER`.`Finance Authorization` Is Null) AND ((`09-YMPO LEDGER`.`PB Expected`&gt;=#10/1/2018# and `PB Expected`&lt;=#9/30/2019#) OR (`09-YMPO LEDGER`.`PB Received`&gt;=#10/1/2018# and `PB Received`&lt;=#9/30/2019#) OR (`09-YMPO LEDGER`.`PF Transmitted`&gt;=#10/1/2018# and `PF Transmitted`&lt;=#9/30/2019#))_x000d__x000a_ORDER BY `09-YMPO LEDGER`.`ADOT#`"/>
  </connection>
</connections>
</file>

<file path=xl/sharedStrings.xml><?xml version="1.0" encoding="utf-8"?>
<sst xmlns="http://schemas.openxmlformats.org/spreadsheetml/2006/main" count="624" uniqueCount="224">
  <si>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</si>
  <si>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</si>
  <si>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</si>
  <si>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</si>
  <si>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</si>
  <si>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</si>
  <si>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</si>
  <si>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</si>
  <si>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</si>
  <si>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</si>
  <si>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</si>
  <si>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</si>
  <si>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</si>
  <si>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</si>
  <si>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</si>
  <si>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</si>
  <si>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</si>
  <si>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</si>
  <si>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</si>
  <si>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</si>
  <si>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</si>
  <si>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</si>
  <si>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</si>
  <si>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</si>
  <si>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</si>
  <si>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</si>
  <si>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</si>
  <si>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</si>
  <si>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</si>
  <si>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</si>
  <si>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</si>
  <si>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</si>
  <si>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</si>
  <si>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</si>
  <si>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</si>
  <si>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</si>
  <si>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</si>
  <si>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</si>
  <si>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</si>
  <si>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</si>
  <si>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</si>
  <si>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</si>
  <si>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</si>
  <si>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</si>
  <si>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</si>
  <si>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</si>
  <si>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</si>
  <si>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</si>
  <si>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</si>
  <si>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</si>
  <si>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</si>
  <si>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</si>
  <si>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</si>
  <si>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</si>
  <si>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</si>
  <si>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</si>
  <si>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</si>
  <si>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</si>
  <si>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</si>
  <si>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</si>
  <si>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</si>
  <si>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</si>
  <si>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</si>
  <si>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</si>
  <si>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</si>
  <si>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</si>
  <si>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</si>
  <si>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</si>
  <si>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</si>
  <si>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</si>
  <si>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</si>
  <si>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</si>
  <si>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</si>
  <si>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</si>
  <si>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</si>
  <si>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</si>
  <si>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</si>
  <si>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</si>
  <si>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</si>
  <si>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</si>
  <si>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</si>
  <si>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</si>
  <si>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</si>
  <si>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</si>
  <si>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</si>
  <si>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</si>
  <si>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</si>
  <si>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</si>
  <si>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</si>
  <si>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</si>
  <si>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</si>
  <si>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</si>
  <si>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</si>
  <si>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</si>
  <si>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</si>
  <si>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</si>
  <si>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</si>
  <si>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</si>
  <si>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</si>
  <si>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</si>
  <si>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</si>
  <si>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</si>
  <si>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</si>
  <si>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</si>
  <si>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</si>
  <si>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</si>
  <si>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</si>
  <si>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</si>
  <si>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</si>
  <si>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</si>
  <si>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</si>
  <si>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</si>
  <si>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</si>
  <si>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</si>
  <si>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</si>
  <si>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</si>
  <si>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</si>
  <si>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t>Current FFY
Apportionments /5</t>
  </si>
  <si>
    <t>Lapsing</t>
  </si>
  <si>
    <t>YMPO-LP01</t>
  </si>
  <si>
    <t>None</t>
  </si>
  <si>
    <t>YMPO LAPSING FUNDS - FFY14</t>
  </si>
  <si>
    <t>SEAGOYMPO16-L1</t>
  </si>
  <si>
    <t>2017</t>
  </si>
  <si>
    <t>SEAGO HSIP Loan to YMPO</t>
  </si>
  <si>
    <t>YMPOADOT-15L1</t>
  </si>
  <si>
    <t>YMPO STP Loan to ADOT</t>
  </si>
  <si>
    <t>0</t>
  </si>
  <si>
    <t>YMPOADOT-17L1</t>
  </si>
  <si>
    <t>2018</t>
  </si>
  <si>
    <t>SZ17801C</t>
  </si>
  <si>
    <t>STP &lt;5</t>
  </si>
  <si>
    <t>PYM1901P</t>
  </si>
  <si>
    <t>YMPO 2019 WP - SPR</t>
  </si>
  <si>
    <t>YMP</t>
  </si>
  <si>
    <t>S</t>
  </si>
  <si>
    <t>019</t>
  </si>
  <si>
    <t>P</t>
  </si>
  <si>
    <t>Fed #</t>
  </si>
  <si>
    <t>Transfer Out</t>
  </si>
  <si>
    <t>YMPOADOT-17T1</t>
  </si>
  <si>
    <t>H810201C</t>
  </si>
  <si>
    <t>YMPO HSIP Transfer to ADOT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</si>
  <si>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</si>
  <si>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</si>
  <si>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</si>
  <si>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T003001C</t>
  </si>
  <si>
    <t>PLAN</t>
  </si>
  <si>
    <t>STP Flex</t>
  </si>
  <si>
    <t>TAP &lt;5</t>
  </si>
  <si>
    <t>TAP 5-2</t>
  </si>
  <si>
    <t>TAP Flex</t>
  </si>
  <si>
    <t>HURF EX</t>
  </si>
  <si>
    <t>HURF EXCHANGE</t>
  </si>
  <si>
    <t>TAP 5-3</t>
  </si>
  <si>
    <t>STP 5-200</t>
  </si>
  <si>
    <t>VARIOUS</t>
  </si>
  <si>
    <t>T017901D</t>
  </si>
  <si>
    <t>YMPOADOT-18L1</t>
  </si>
  <si>
    <t>VARIOUS STBGP</t>
  </si>
  <si>
    <t>YMPO STBGP Loan to ADOT</t>
  </si>
  <si>
    <t>094</t>
  </si>
  <si>
    <t>A</t>
  </si>
  <si>
    <t>PYM1902P</t>
  </si>
  <si>
    <t>YMPO 2019 WP - PL</t>
  </si>
  <si>
    <t>Transfer In</t>
  </si>
  <si>
    <t>ADOTYMPO-18T1</t>
  </si>
  <si>
    <t>ADOT HURF EX Transfer to YMPO</t>
  </si>
  <si>
    <t>ADOTYMPO-18T2</t>
  </si>
  <si>
    <t>YMPO STP Flex Transfer to ADOT</t>
  </si>
  <si>
    <t>YMPO STP 5-200 Transfer to ADOT</t>
  </si>
  <si>
    <t>Federal Fiscal Year 2019</t>
  </si>
  <si>
    <t>PYM2001P</t>
  </si>
  <si>
    <t>YMPO 2020 WP - SPR</t>
  </si>
  <si>
    <t>020</t>
  </si>
  <si>
    <t>RLTAP24P</t>
  </si>
  <si>
    <t>LTAP - FFY19</t>
  </si>
  <si>
    <t>TBD</t>
  </si>
  <si>
    <t>SZ07701C</t>
  </si>
  <si>
    <t>WEL-14-01C</t>
  </si>
  <si>
    <t>WELLTON</t>
  </si>
  <si>
    <t>LOS ANGELES AVENUE (OLD HWY 80)</t>
  </si>
  <si>
    <t>WEL</t>
  </si>
  <si>
    <t>200</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</si>
  <si>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</si>
  <si>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</si>
  <si>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</si>
  <si>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</si>
  <si>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</si>
  <si>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</si>
  <si>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</si>
  <si>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</si>
  <si>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</si>
  <si>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</si>
  <si>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</si>
  <si>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</si>
  <si>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SH58601C</t>
  </si>
  <si>
    <t>YC-13-02C</t>
  </si>
  <si>
    <t xml:space="preserve">YUMA COUNTY                   </t>
  </si>
  <si>
    <t>YUMA COUNTY - SOMERTON AVE &amp; COUNTY 18TH ST.</t>
  </si>
  <si>
    <t>YYU</t>
  </si>
  <si>
    <t>207</t>
  </si>
  <si>
    <t>YMPOADOT-18L2</t>
  </si>
  <si>
    <t>FV BALANCES</t>
  </si>
  <si>
    <t>LOCAL LEDGERS</t>
  </si>
  <si>
    <t>SH58603D</t>
  </si>
  <si>
    <t>YU-13-02D</t>
  </si>
  <si>
    <t>SH58601D</t>
  </si>
  <si>
    <t>SOMERTON AVE</t>
  </si>
  <si>
    <t>SZ05301R</t>
  </si>
  <si>
    <t>YU-12-01D</t>
  </si>
  <si>
    <t>AVENUE 3E TO ARABY ROAD</t>
  </si>
  <si>
    <t>YCT</t>
  </si>
  <si>
    <t>209</t>
  </si>
  <si>
    <t>PYM1802P</t>
  </si>
  <si>
    <t>YMPO 2018 WP - PL</t>
  </si>
  <si>
    <t>018</t>
  </si>
  <si>
    <t>PYM1801P</t>
  </si>
  <si>
    <t>YMPO 2018 WP - SPR</t>
  </si>
  <si>
    <t>YUMA</t>
  </si>
  <si>
    <t xml:space="preserve"> </t>
  </si>
  <si>
    <t>YC-17-01C</t>
  </si>
  <si>
    <t>N. FRONTAGE ROAD: FORTUNA- FOOTHILLS</t>
  </si>
  <si>
    <t>217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</si>
</sst>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11"/>
      <color theme="1"/>
      <name val="Calibri"/>
      <family val="2"/>
      <scheme val="minor"/>
    </font>
    <font>
      <sz val="9"/>
      <color theme="1"/>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21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40" fontId="16" fillId="2" borderId="16" xfId="1" applyNumberFormat="1" applyFont="1" applyFill="1" applyBorder="1" applyAlignment="1">
      <alignment horizontal="center" vertical="center"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3" xfId="0" applyNumberFormat="1" applyFont="1" applyFill="1" applyBorder="1" applyAlignment="1">
      <alignment horizontal="righ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40" fontId="16" fillId="5" borderId="6"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9" fillId="0" borderId="0" xfId="3" applyFont="1"/>
    <xf numFmtId="43" fontId="29" fillId="0" borderId="11" xfId="3" applyFont="1" applyBorder="1"/>
    <xf numFmtId="43" fontId="29" fillId="0" borderId="6" xfId="3" applyFont="1" applyBorder="1"/>
    <xf numFmtId="43" fontId="29" fillId="0" borderId="17" xfId="3" applyFont="1" applyBorder="1"/>
    <xf numFmtId="43" fontId="29" fillId="0" borderId="18"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7" fillId="0" borderId="0" xfId="0" applyNumberFormat="1" applyFont="1" applyAlignment="1">
      <alignment vertical="top"/>
    </xf>
    <xf numFmtId="43" fontId="27" fillId="0" borderId="0" xfId="3" applyFont="1" applyBorder="1"/>
    <xf numFmtId="43" fontId="28" fillId="0" borderId="0" xfId="3" applyFont="1" applyBorder="1"/>
    <xf numFmtId="43" fontId="29" fillId="0" borderId="0" xfId="3" applyFont="1" applyBorder="1"/>
    <xf numFmtId="43" fontId="31" fillId="0" borderId="0" xfId="3" applyFont="1" applyBorder="1"/>
    <xf numFmtId="43" fontId="31" fillId="0" borderId="0" xfId="3" applyFont="1"/>
    <xf numFmtId="14" fontId="17" fillId="0" borderId="0" xfId="0" applyNumberFormat="1" applyFont="1" applyAlignment="1">
      <alignment horizontal="center"/>
    </xf>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xf numFmtId="40" fontId="17" fillId="0" borderId="5" xfId="0" applyNumberFormat="1" applyFont="1" applyBorder="1" applyAlignment="1">
      <alignment vertical="top"/>
    </xf>
    <xf numFmtId="40" fontId="17" fillId="0" borderId="0" xfId="0" applyNumberFormat="1" applyFont="1" applyBorder="1" applyAlignment="1">
      <alignment vertical="center"/>
    </xf>
    <xf numFmtId="40" fontId="17" fillId="4" borderId="1" xfId="0" applyNumberFormat="1" applyFont="1" applyFill="1" applyBorder="1" applyAlignment="1">
      <alignment vertical="top"/>
    </xf>
    <xf numFmtId="40" fontId="17" fillId="0" borderId="1" xfId="0" applyNumberFormat="1" applyFont="1" applyFill="1" applyBorder="1" applyAlignment="1">
      <alignment vertical="top"/>
    </xf>
    <xf numFmtId="40" fontId="24" fillId="0" borderId="0" xfId="0" applyNumberFormat="1" applyFont="1" applyBorder="1" applyAlignment="1">
      <alignment vertical="top" wrapText="1"/>
    </xf>
    <xf numFmtId="14" fontId="17" fillId="0" borderId="0" xfId="0" applyNumberFormat="1" applyFont="1" applyAlignment="1"/>
    <xf numFmtId="40" fontId="17" fillId="0" borderId="10" xfId="0" applyNumberFormat="1" applyFont="1" applyFill="1" applyBorder="1" applyAlignment="1">
      <alignment vertical="top" wrapText="1"/>
    </xf>
    <xf numFmtId="40" fontId="23" fillId="0" borderId="19"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24" fillId="0" borderId="0" xfId="0" applyNumberFormat="1" applyFont="1" applyAlignment="1">
      <alignment horizontal="center" vertical="top"/>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14" fontId="35" fillId="0" borderId="0" xfId="0" applyNumberFormat="1" applyFont="1" applyAlignment="1"/>
    <xf numFmtId="14" fontId="35" fillId="0" borderId="0" xfId="0" applyNumberFormat="1" applyFont="1" applyAlignment="1">
      <alignment horizontal="center"/>
    </xf>
    <xf numFmtId="40" fontId="35" fillId="0" borderId="0" xfId="0" applyNumberFormat="1" applyFont="1" applyAlignment="1">
      <alignment horizontal="center"/>
    </xf>
    <xf numFmtId="164" fontId="35" fillId="0" borderId="0" xfId="0" applyNumberFormat="1" applyFont="1" applyAlignment="1">
      <alignment horizontal="center"/>
    </xf>
    <xf numFmtId="40" fontId="35" fillId="0" borderId="0" xfId="0" applyNumberFormat="1" applyFont="1" applyAlignment="1"/>
    <xf numFmtId="40" fontId="35" fillId="0" borderId="0" xfId="0" applyNumberFormat="1" applyFont="1" applyAlignment="1">
      <alignment vertical="top"/>
    </xf>
    <xf numFmtId="43" fontId="36" fillId="0" borderId="0" xfId="3" applyFont="1"/>
    <xf numFmtId="14" fontId="37" fillId="0" borderId="0" xfId="0" applyNumberFormat="1" applyFont="1" applyAlignment="1"/>
    <xf numFmtId="14" fontId="37" fillId="0" borderId="0" xfId="0" applyNumberFormat="1" applyFont="1" applyAlignment="1">
      <alignment horizontal="center"/>
    </xf>
    <xf numFmtId="40" fontId="37" fillId="0" borderId="0" xfId="0" applyNumberFormat="1" applyFont="1" applyAlignment="1">
      <alignment horizontal="center"/>
    </xf>
    <xf numFmtId="164" fontId="37" fillId="0" borderId="0" xfId="0" applyNumberFormat="1" applyFont="1" applyAlignment="1">
      <alignment horizontal="center"/>
    </xf>
    <xf numFmtId="40" fontId="37" fillId="0" borderId="0" xfId="0" applyNumberFormat="1" applyFont="1" applyAlignment="1"/>
    <xf numFmtId="40" fontId="37" fillId="0" borderId="0" xfId="0" applyNumberFormat="1" applyFont="1" applyAlignment="1">
      <alignment vertical="top"/>
    </xf>
    <xf numFmtId="40" fontId="38" fillId="0" borderId="0" xfId="0" applyNumberFormat="1" applyFont="1" applyAlignment="1">
      <alignment vertical="top"/>
    </xf>
    <xf numFmtId="14" fontId="38" fillId="0" borderId="0" xfId="0" applyNumberFormat="1" applyFont="1" applyAlignment="1"/>
    <xf numFmtId="14" fontId="38" fillId="0" borderId="0" xfId="0" applyNumberFormat="1" applyFont="1" applyAlignment="1">
      <alignment horizontal="center"/>
    </xf>
    <xf numFmtId="40" fontId="38" fillId="0" borderId="0" xfId="0" applyNumberFormat="1" applyFont="1" applyAlignment="1">
      <alignment horizontal="center"/>
    </xf>
    <xf numFmtId="164" fontId="38" fillId="0" borderId="0" xfId="0" applyNumberFormat="1" applyFont="1" applyAlignment="1">
      <alignment horizontal="center"/>
    </xf>
    <xf numFmtId="40" fontId="38" fillId="0" borderId="0" xfId="0" applyNumberFormat="1" applyFont="1" applyAlignment="1"/>
    <xf numFmtId="40" fontId="38" fillId="0" borderId="0" xfId="0" applyNumberFormat="1" applyFont="1" applyAlignment="1">
      <alignment vertical="top" wrapText="1"/>
    </xf>
    <xf numFmtId="40" fontId="39" fillId="0" borderId="0" xfId="0" applyNumberFormat="1" applyFont="1" applyAlignment="1">
      <alignment horizontal="left" vertical="top" wrapText="1"/>
    </xf>
    <xf numFmtId="40" fontId="38" fillId="0" borderId="0" xfId="0" applyNumberFormat="1" applyFont="1" applyAlignment="1">
      <alignment horizontal="center"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horizontal="center" vertical="top"/>
    </xf>
    <xf numFmtId="40" fontId="39"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4" borderId="20" xfId="1" applyNumberFormat="1" applyFont="1" applyFill="1" applyBorder="1" applyAlignment="1">
      <alignment horizontal="center" vertical="center" wrapText="1"/>
    </xf>
    <xf numFmtId="40" fontId="26" fillId="4" borderId="21" xfId="1" applyNumberFormat="1" applyFont="1" applyFill="1" applyBorder="1" applyAlignment="1">
      <alignment horizontal="center" vertical="center" wrapText="1"/>
    </xf>
    <xf numFmtId="40" fontId="26" fillId="4"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6" tableType="queryTable" totalsRowShown="0" headerRowDxfId="94" dataDxfId="93" tableBorderDxfId="92">
  <autoFilter ref="A15:V26"/>
  <tableColumns count="22">
    <tableColumn id="1" uniqueName="1" name="ADOT#" queryTableFieldId="1" dataDxfId="61"/>
    <tableColumn id="2" uniqueName="2" name="TIP#" queryTableFieldId="2" dataDxfId="60"/>
    <tableColumn id="3" uniqueName="3" name="Sponsor" queryTableFieldId="3" dataDxfId="59"/>
    <tableColumn id="4" uniqueName="4" name="Action/15" queryTableFieldId="4" dataDxfId="58"/>
    <tableColumn id="5" uniqueName="5" name="Location" queryTableFieldId="5" dataDxfId="57"/>
    <tableColumn id="6" uniqueName="6" name="RTE" queryTableFieldId="6" dataDxfId="56"/>
    <tableColumn id="7" uniqueName="7" name="SEC" queryTableFieldId="7" dataDxfId="55"/>
    <tableColumn id="8" uniqueName="8" name="SEQ" queryTableFieldId="8" dataDxfId="54"/>
    <tableColumn id="23" uniqueName="23" name="Fed #" queryTableFieldId="23" dataDxfId="53">
      <calculatedColumnFormula>CONCATENATE(Table_Query_from_MS_Access_Database8[RTE],Table_Query_from_MS_Access_Database8[SEC],Table_Query_from_MS_Access_Database8[SEQ])</calculatedColumnFormula>
    </tableColumn>
    <tableColumn id="9" uniqueName="9" name="PB Expected" queryTableFieldId="9" dataDxfId="52"/>
    <tableColumn id="10" uniqueName="10" name="PB Received" queryTableFieldId="10" dataDxfId="51"/>
    <tableColumn id="11" uniqueName="11" name="PF Transmitted" queryTableFieldId="11" dataDxfId="50"/>
    <tableColumn id="12" uniqueName="12" name="Finance Authorization" queryTableFieldId="12" dataDxfId="49"/>
    <tableColumn id="13" uniqueName="13" name="HURF EX" queryTableFieldId="13" dataDxfId="48"/>
    <tableColumn id="14" uniqueName="14" name="HSIP" queryTableFieldId="14" dataDxfId="47"/>
    <tableColumn id="15" uniqueName="15" name="PL" queryTableFieldId="15" dataDxfId="46"/>
    <tableColumn id="16" uniqueName="16" name="SPR" queryTableFieldId="16" dataDxfId="45"/>
    <tableColumn id="17" uniqueName="17" name="STP &lt;5" queryTableFieldId="17" dataDxfId="44"/>
    <tableColumn id="18" uniqueName="18" name="STP 5-200" queryTableFieldId="18" dataDxfId="43"/>
    <tableColumn id="19" uniqueName="19" name="STP OTHER" queryTableFieldId="19" dataDxfId="42"/>
    <tableColumn id="21" uniqueName="21" name="TOTAL OF AMOUNT" queryTableFieldId="21" dataDxfId="41">
      <calculatedColumnFormula>SUM(Table_Query_from_MS_Access_Database8[[#This Row],[HURF EX]:[STP OTHER]])</calculatedColumnFormula>
    </tableColumn>
    <tableColumn id="22" uniqueName="22" name="DECLINING BALANCE OA" queryTableFieldId="20" dataDxfId="4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1:V35" tableType="queryTable" totalsRowShown="0" headerRowDxfId="91" dataDxfId="90">
  <autoFilter ref="A31:V35"/>
  <tableColumns count="22">
    <tableColumn id="1" uniqueName="1" name="ADOT#" queryTableFieldId="1" dataDxfId="89"/>
    <tableColumn id="2" uniqueName="2" name="TIP#" queryTableFieldId="2" dataDxfId="88"/>
    <tableColumn id="3" uniqueName="3" name="Sponsor" queryTableFieldId="3" dataDxfId="87"/>
    <tableColumn id="4" uniqueName="4" name="Action/15" queryTableFieldId="4" dataDxfId="86"/>
    <tableColumn id="5" uniqueName="5" name="Location" queryTableFieldId="5" dataDxfId="77"/>
    <tableColumn id="6" uniqueName="6" name="RTE" queryTableFieldId="6" dataDxfId="85"/>
    <tableColumn id="7" uniqueName="7" name="SEC" queryTableFieldId="7" dataDxfId="76"/>
    <tableColumn id="8" uniqueName="8" name="SEQ" queryTableFieldId="8" dataDxfId="75"/>
    <tableColumn id="23" uniqueName="23" name="Fed #" queryTableFieldId="23" dataDxfId="74">
      <calculatedColumnFormula>CONCATENATE(Table_Query_from_MS_Access_Database_1[RTE],Table_Query_from_MS_Access_Database_1[SEC],Table_Query_from_MS_Access_Database_1[SEQ])</calculatedColumnFormula>
    </tableColumn>
    <tableColumn id="9" uniqueName="9" name="PB Expected" queryTableFieldId="9" dataDxfId="73"/>
    <tableColumn id="10" uniqueName="10" name="PB Received" queryTableFieldId="10" dataDxfId="72"/>
    <tableColumn id="11" uniqueName="11" name="PF Transmitted" queryTableFieldId="11" dataDxfId="71"/>
    <tableColumn id="12" uniqueName="12" name="Finance Authorization" queryTableFieldId="12" dataDxfId="70"/>
    <tableColumn id="13" uniqueName="13" name="HURF EX" queryTableFieldId="13" dataDxfId="69"/>
    <tableColumn id="14" uniqueName="14" name="HSIP" queryTableFieldId="14" dataDxfId="68"/>
    <tableColumn id="15" uniqueName="15" name="PL" queryTableFieldId="15" dataDxfId="67"/>
    <tableColumn id="16" uniqueName="16" name="SPR" queryTableFieldId="16" dataDxfId="66"/>
    <tableColumn id="17" uniqueName="17" name="STP &lt;5" queryTableFieldId="17" dataDxfId="65"/>
    <tableColumn id="18" uniqueName="18" name="STP 5-200" queryTableFieldId="18" dataDxfId="64"/>
    <tableColumn id="19" uniqueName="19" name="STP OTHER" queryTableFieldId="19" dataDxfId="63"/>
    <tableColumn id="21" uniqueName="21" name="TOTAL OF AMOUNT" queryTableFieldId="21" dataDxfId="62">
      <calculatedColumnFormula>SUM(Table_Query_from_MS_Access_Database_1[[#This Row],[HURF EX]:[STP OTHER]])</calculatedColumnFormula>
    </tableColumn>
    <tableColumn id="22" uniqueName="22" name="EXPECTED DECLINING BALANCE OA" queryTableFieldId="20" dataDxfId="0">
      <calculatedColumnFormula>V26-Table_Query_from_MS_Access_Database_1[TOTAL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33" tableType="queryTable" totalsRowShown="0" headerRowDxfId="84" headerRowBorderDxfId="83" tableBorderDxfId="82" totalsRowBorderDxfId="81" headerRowCellStyle="Comma" dataCellStyle="Comma">
  <autoFilter ref="A11:T33"/>
  <tableColumns count="20">
    <tableColumn id="7" uniqueName="7" name="Transaction Year" queryTableFieldId="1" dataDxfId="20" dataCellStyle="Comma"/>
    <tableColumn id="8" uniqueName="8" name="Transaction Type" queryTableFieldId="2" dataDxfId="19" dataCellStyle="Comma"/>
    <tableColumn id="9" uniqueName="9" name="Number" queryTableFieldId="3" dataDxfId="18" dataCellStyle="Comma"/>
    <tableColumn id="10" uniqueName="10" name="From" queryTableFieldId="4" dataDxfId="17" dataCellStyle="Comma"/>
    <tableColumn id="11" uniqueName="11" name="To" queryTableFieldId="5" dataDxfId="16" dataCellStyle="Comma"/>
    <tableColumn id="12" uniqueName="12" name="Repayment Year" queryTableFieldId="6" dataDxfId="15" dataCellStyle="Comma"/>
    <tableColumn id="13" uniqueName="13" name="Project8" queryTableFieldId="7" dataDxfId="14" dataCellStyle="Comma"/>
    <tableColumn id="14" uniqueName="14" name="Notes" queryTableFieldId="8" dataDxfId="13" dataCellStyle="Comma"/>
    <tableColumn id="15" uniqueName="15" name="Total" queryTableFieldId="9" dataDxfId="12" dataCellStyle="Comma"/>
    <tableColumn id="16" uniqueName="16" name="HURF EXCHANGE" queryTableFieldId="10" dataDxfId="11" dataCellStyle="Comma"/>
    <tableColumn id="17" uniqueName="17" name="HSIP" queryTableFieldId="11" dataDxfId="10" dataCellStyle="Comma"/>
    <tableColumn id="18" uniqueName="18" name="PLAN" queryTableFieldId="12" dataDxfId="9" dataCellStyle="Comma"/>
    <tableColumn id="19" uniqueName="19" name="SPR" queryTableFieldId="13" dataDxfId="8" dataCellStyle="Comma"/>
    <tableColumn id="20" uniqueName="20" name="STP &lt;5" queryTableFieldId="14" dataDxfId="7" dataCellStyle="Comma"/>
    <tableColumn id="21" uniqueName="21" name="STP 5-2" queryTableFieldId="15" dataDxfId="6" dataCellStyle="Comma"/>
    <tableColumn id="22" uniqueName="22" name="STP Flex" queryTableFieldId="16" dataDxfId="5" dataCellStyle="Comma"/>
    <tableColumn id="23" uniqueName="23" name="TAP &lt;5" queryTableFieldId="17" dataDxfId="4" dataCellStyle="Comma"/>
    <tableColumn id="24" uniqueName="24" name="TAP 5-2" queryTableFieldId="18" dataDxfId="3" dataCellStyle="Comma"/>
    <tableColumn id="26" uniqueName="26" name="TAP 5-3" queryTableFieldId="20" dataDxfId="2" dataCellStyle="Comma"/>
    <tableColumn id="25" uniqueName="25" name="TAP Flex" queryTableFieldId="19"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6:S58" tableType="queryTable" totalsRowShown="0" headerRowDxfId="80" dataDxfId="79" tableBorderDxfId="78" headerRowCellStyle="Comma" dataCellStyle="Comma">
  <autoFilter ref="A36:S58"/>
  <tableColumns count="19">
    <tableColumn id="2" uniqueName="2" name="Transaction Year" queryTableFieldId="1" dataDxfId="39" dataCellStyle="Comma"/>
    <tableColumn id="3" uniqueName="3" name="Transaction Type" queryTableFieldId="2" dataDxfId="38" dataCellStyle="Comma"/>
    <tableColumn id="4" uniqueName="4" name="Number" queryTableFieldId="3" dataDxfId="37" dataCellStyle="Comma"/>
    <tableColumn id="5" uniqueName="5" name="From" queryTableFieldId="4" dataDxfId="36" dataCellStyle="Comma"/>
    <tableColumn id="6" uniqueName="6" name="To" queryTableFieldId="5" dataDxfId="35" dataCellStyle="Comma"/>
    <tableColumn id="7" uniqueName="7" name="Repayment Year" queryTableFieldId="6" dataDxfId="34" dataCellStyle="Comma"/>
    <tableColumn id="8" uniqueName="8" name="Project8" queryTableFieldId="7" dataDxfId="33" dataCellStyle="Comma"/>
    <tableColumn id="9" uniqueName="9" name="Notes" queryTableFieldId="8" dataDxfId="32" dataCellStyle="Comma"/>
    <tableColumn id="10" uniqueName="10" name="Total" queryTableFieldId="9" dataDxfId="31" dataCellStyle="Comma"/>
    <tableColumn id="11" uniqueName="11" name="HURF EXCHANGE" queryTableFieldId="10" dataDxfId="30" dataCellStyle="Comma"/>
    <tableColumn id="12" uniqueName="12" name="HSIP" queryTableFieldId="11" dataDxfId="29" dataCellStyle="Comma"/>
    <tableColumn id="13" uniqueName="13" name="PLAN" queryTableFieldId="12" dataDxfId="28" dataCellStyle="Comma"/>
    <tableColumn id="14" uniqueName="14" name="SPR" queryTableFieldId="13" dataDxfId="27" dataCellStyle="Comma"/>
    <tableColumn id="15" uniqueName="15" name="STP &lt;5" queryTableFieldId="14" dataDxfId="26" dataCellStyle="Comma"/>
    <tableColumn id="16" uniqueName="16" name="STP 5-2" queryTableFieldId="15" dataDxfId="25" dataCellStyle="Comma"/>
    <tableColumn id="17" uniqueName="17" name="STP Flex" queryTableFieldId="16" dataDxfId="24" dataCellStyle="Comma"/>
    <tableColumn id="18" uniqueName="18" name="TAP &lt;5" queryTableFieldId="17" dataDxfId="23" dataCellStyle="Comma"/>
    <tableColumn id="19" uniqueName="19" name="TAP 5-2" queryTableFieldId="18" dataDxfId="22" dataCellStyle="Comma"/>
    <tableColumn id="20" uniqueName="20" name="TAP Flex" queryTableFieldId="19" dataDxfId="21"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7"/>
  <sheetViews>
    <sheetView tabSelected="1" topLeftCell="G1" zoomScale="90" zoomScaleNormal="90" zoomScaleSheetLayoutView="115" workbookViewId="0">
      <selection activeCell="V33" sqref="V33:V35"/>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customWidth="1"/>
    <col min="7" max="7" width="9.140625" style="33" customWidth="1"/>
    <col min="8" max="9" width="9.28515625" style="33" customWidth="1"/>
    <col min="10" max="12" width="14.7109375" style="33" customWidth="1"/>
    <col min="13" max="13" width="18.7109375" style="33" customWidth="1"/>
    <col min="14" max="20" width="14.7109375" style="36" customWidth="1"/>
    <col min="21" max="21" width="18.7109375" style="33" customWidth="1"/>
    <col min="22" max="22" width="17.7109375" style="33" customWidth="1"/>
    <col min="23" max="16384" width="32" style="33"/>
  </cols>
  <sheetData>
    <row r="1" spans="1:22" ht="23.25" customHeight="1" thickBot="1" x14ac:dyDescent="0.3">
      <c r="A1" s="185" t="s">
        <v>93</v>
      </c>
      <c r="B1" s="185"/>
      <c r="C1" s="185"/>
      <c r="D1" s="185"/>
      <c r="E1" s="185"/>
      <c r="F1" s="185"/>
      <c r="J1" s="34"/>
      <c r="K1" s="35"/>
      <c r="L1" s="34"/>
      <c r="M1" s="56"/>
      <c r="N1" s="195" t="s">
        <v>78</v>
      </c>
      <c r="O1" s="195"/>
      <c r="P1" s="195"/>
      <c r="Q1" s="195"/>
      <c r="R1" s="195"/>
      <c r="S1" s="195"/>
      <c r="T1" s="195"/>
      <c r="U1" s="195"/>
    </row>
    <row r="2" spans="1:22" ht="17.25" customHeight="1" thickBot="1" x14ac:dyDescent="0.3">
      <c r="J2" s="34"/>
      <c r="K2" s="34"/>
      <c r="L2" s="34"/>
      <c r="M2" s="56"/>
      <c r="N2" s="192" t="s">
        <v>12</v>
      </c>
      <c r="O2" s="193"/>
      <c r="P2" s="193"/>
      <c r="Q2" s="193"/>
      <c r="R2" s="193"/>
      <c r="S2" s="193"/>
      <c r="T2" s="193"/>
      <c r="U2" s="194"/>
    </row>
    <row r="3" spans="1:22" ht="27.6" customHeight="1" x14ac:dyDescent="0.25">
      <c r="A3" s="188" t="s">
        <v>81</v>
      </c>
      <c r="B3" s="188"/>
      <c r="C3" s="188"/>
      <c r="D3" s="188"/>
      <c r="E3" s="37"/>
      <c r="F3" s="37"/>
      <c r="G3" s="37"/>
      <c r="J3" s="34"/>
      <c r="K3" s="95"/>
      <c r="L3" s="34"/>
      <c r="M3" s="73" t="s">
        <v>11</v>
      </c>
      <c r="N3" s="149" t="s">
        <v>152</v>
      </c>
      <c r="O3" s="82" t="s">
        <v>61</v>
      </c>
      <c r="P3" s="82" t="s">
        <v>42</v>
      </c>
      <c r="Q3" s="74" t="s">
        <v>56</v>
      </c>
      <c r="R3" s="74" t="s">
        <v>131</v>
      </c>
      <c r="S3" s="74" t="s">
        <v>143</v>
      </c>
      <c r="T3" s="74" t="s">
        <v>6</v>
      </c>
      <c r="U3" s="75" t="s">
        <v>10</v>
      </c>
      <c r="V3" s="38" t="s">
        <v>15</v>
      </c>
    </row>
    <row r="4" spans="1:22" ht="27" x14ac:dyDescent="0.25">
      <c r="A4" s="187" t="s">
        <v>171</v>
      </c>
      <c r="B4" s="187"/>
      <c r="C4" s="187"/>
      <c r="D4" s="187"/>
      <c r="E4" s="39"/>
      <c r="F4" s="39"/>
      <c r="G4" s="39"/>
      <c r="J4" s="34"/>
      <c r="K4" s="34"/>
      <c r="L4" s="34"/>
      <c r="M4" s="90" t="s">
        <v>145</v>
      </c>
      <c r="N4" s="89">
        <v>0</v>
      </c>
      <c r="O4" s="93">
        <v>0</v>
      </c>
      <c r="P4" s="93">
        <v>0</v>
      </c>
      <c r="Q4" s="81">
        <v>0</v>
      </c>
      <c r="R4" s="81">
        <v>0</v>
      </c>
      <c r="S4" s="81">
        <v>0</v>
      </c>
      <c r="T4" s="41">
        <v>0</v>
      </c>
      <c r="U4" s="42">
        <f t="shared" ref="U4:U11" si="0">SUM(N4:T4)</f>
        <v>0</v>
      </c>
      <c r="V4" s="89">
        <v>0</v>
      </c>
    </row>
    <row r="5" spans="1:22" ht="27" x14ac:dyDescent="0.25">
      <c r="A5" s="101" t="s">
        <v>95</v>
      </c>
      <c r="C5" s="72">
        <v>43555</v>
      </c>
      <c r="J5" s="34"/>
      <c r="K5" s="34"/>
      <c r="L5" s="34"/>
      <c r="M5" s="91" t="s">
        <v>117</v>
      </c>
      <c r="N5" s="40">
        <v>0</v>
      </c>
      <c r="O5" s="83">
        <v>0</v>
      </c>
      <c r="P5" s="83">
        <v>309576</v>
      </c>
      <c r="Q5" s="41">
        <f>Notes!D13</f>
        <v>175000</v>
      </c>
      <c r="R5" s="41">
        <f>129983+781000</f>
        <v>910983</v>
      </c>
      <c r="S5" s="41">
        <f>950246-781000</f>
        <v>169246</v>
      </c>
      <c r="T5" s="41">
        <v>0</v>
      </c>
      <c r="U5" s="42">
        <f t="shared" si="0"/>
        <v>1564805</v>
      </c>
      <c r="V5" s="40">
        <f>ROUND(+Table1[[#This Row],[Total]]*0.949,0)</f>
        <v>1485000</v>
      </c>
    </row>
    <row r="6" spans="1:22" x14ac:dyDescent="0.25">
      <c r="J6" s="34"/>
      <c r="K6" s="34"/>
      <c r="L6" s="34"/>
      <c r="M6" s="91" t="s">
        <v>69</v>
      </c>
      <c r="N6" s="43">
        <f>SUMIFS(Table_Query_from_MS_Access_Database[[#All],[HURF EXCHANGE]],Table_Query_from_MS_Access_Database[[#All],[Transaction Year]],"2019",Table_Query_from_MS_Access_Database[[#All],[Transaction Type]],"loan in")</f>
        <v>0</v>
      </c>
      <c r="O6" s="147">
        <f>SUMIFS(Table_Query_from_MS_Access_Database[[#All],[HSIP]],Table_Query_from_MS_Access_Database[[#All],[Transaction Year]],"2019",Table_Query_from_MS_Access_Database[[#All],[Transaction Type]],"loan in")</f>
        <v>0</v>
      </c>
      <c r="P6" s="100">
        <f>SUMIFS(Table_Query_from_MS_Access_Database[[#All],[PLAN]],Table_Query_from_MS_Access_Database[[#All],[Transaction Year]],"2019",Table_Query_from_MS_Access_Database[[#All],[Transaction Type]],"loan in")</f>
        <v>0</v>
      </c>
      <c r="Q6" s="100">
        <f>SUMIFS(Table_Query_from_MS_Access_Database[[#All],[SPR]],Table_Query_from_MS_Access_Database[[#All],[Transaction Year]],"2019",Table_Query_from_MS_Access_Database[[#All],[Transaction Type]],"loan in")</f>
        <v>0</v>
      </c>
      <c r="R6" s="100">
        <f>SUMIFS(Table_Query_from_MS_Access_Database[[#All],[STP &lt;5]],Table_Query_from_MS_Access_Database[[#All],[Transaction Year]],"2019",Table_Query_from_MS_Access_Database[[#All],[Transaction Type]],"loan in")</f>
        <v>0</v>
      </c>
      <c r="S6" s="100">
        <f>SUMIFS(Table_Query_from_MS_Access_Database[[#All],[STP 5-2]],Table_Query_from_MS_Access_Database[[#All],[Transaction Year]],"2019",Table_Query_from_MS_Access_Database[[#All],[Transaction Type]],"loan in")</f>
        <v>0</v>
      </c>
      <c r="T6" s="100">
        <f>SUMIFS(Table_Query_from_MS_Access_Database[[#All],[STP Flex]],Table_Query_from_MS_Access_Database[[#All],[Transaction Year]],"2019",Table_Query_from_MS_Access_Database[[#All],[Transaction Type]],"loan in")</f>
        <v>0</v>
      </c>
      <c r="U6" s="42">
        <f t="shared" si="0"/>
        <v>0</v>
      </c>
      <c r="V6" s="43">
        <f>SUMIFS(Table_Query_from_MS_Access_Database_16[[#All],[Total]],Table_Query_from_MS_Access_Database_16[[#All],[Transaction Year]],"2019",Table_Query_from_MS_Access_Database_16[[#All],[Transaction Type]],"Loan In")</f>
        <v>0</v>
      </c>
    </row>
    <row r="7" spans="1:22" x14ac:dyDescent="0.25">
      <c r="A7" s="45"/>
      <c r="J7" s="34"/>
      <c r="K7" s="34"/>
      <c r="L7" s="34"/>
      <c r="M7" s="91" t="s">
        <v>70</v>
      </c>
      <c r="N7" s="43">
        <f>SUMIFS(Table_Query_from_MS_Access_Database[[#All],[HURF EXCHANGE]],Table_Query_from_MS_Access_Database[[#All],[Transaction Year]],"2019",Table_Query_from_MS_Access_Database[[#All],[Transaction Type]],"loan Out")</f>
        <v>0</v>
      </c>
      <c r="O7" s="147">
        <f>SUMIFS(Table_Query_from_MS_Access_Database[[#All],[HSIP]],Table_Query_from_MS_Access_Database[[#All],[Transaction Year]],"2019",Table_Query_from_MS_Access_Database[[#All],[Transaction Type]],"loan Out")</f>
        <v>0</v>
      </c>
      <c r="P7" s="100">
        <f>SUMIFS(Table_Query_from_MS_Access_Database[[#All],[PLAN]],Table_Query_from_MS_Access_Database[[#All],[Transaction Year]],"2019",Table_Query_from_MS_Access_Database[[#All],[Transaction Type]],"loan Out")</f>
        <v>0</v>
      </c>
      <c r="Q7" s="100">
        <f>SUMIFS(Table_Query_from_MS_Access_Database[[#All],[SPR]],Table_Query_from_MS_Access_Database[[#All],[Transaction Year]],"2019",Table_Query_from_MS_Access_Database[[#All],[Transaction Type]],"loan Out")</f>
        <v>0</v>
      </c>
      <c r="R7" s="100">
        <f>SUMIFS(Table_Query_from_MS_Access_Database[[#All],[STP &lt;5]],Table_Query_from_MS_Access_Database[[#All],[Transaction Year]],"2019",Table_Query_from_MS_Access_Database[[#All],[Transaction Type]],"loan Out")</f>
        <v>0</v>
      </c>
      <c r="S7" s="100">
        <f>SUMIFS(Table_Query_from_MS_Access_Database[[#All],[STP 5-2]],Table_Query_from_MS_Access_Database[[#All],[Transaction Year]],"2019",Table_Query_from_MS_Access_Database[[#All],[Transaction Type]],"loan Out")</f>
        <v>0</v>
      </c>
      <c r="T7" s="100">
        <f>SUMIFS(Table_Query_from_MS_Access_Database[[#All],[STP Flex]],Table_Query_from_MS_Access_Database[[#All],[Transaction Year]],"2019",Table_Query_from_MS_Access_Database[[#All],[Transaction Type]],"loan Out")</f>
        <v>0</v>
      </c>
      <c r="U7" s="42">
        <f t="shared" si="0"/>
        <v>0</v>
      </c>
      <c r="V7" s="43">
        <f>SUMIFS(Table_Query_from_MS_Access_Database_16[[#All],[Total]],Table_Query_from_MS_Access_Database_16[[#All],[Transaction Year]],"2019",Table_Query_from_MS_Access_Database_16[[#All],[Transaction Type]],"Loan Out")</f>
        <v>0</v>
      </c>
    </row>
    <row r="8" spans="1:22" x14ac:dyDescent="0.25">
      <c r="J8" s="34"/>
      <c r="K8" s="34"/>
      <c r="L8" s="34"/>
      <c r="M8" s="90" t="s">
        <v>71</v>
      </c>
      <c r="N8" s="43">
        <f>SUMIFS(Table_Query_from_MS_Access_Database[[#All],[HURF EXCHANGE]],Table_Query_from_MS_Access_Database[[#All],[Transaction Year]],"2019",Table_Query_from_MS_Access_Database[[#All],[Transaction Type]],"repayment in")</f>
        <v>0</v>
      </c>
      <c r="O8" s="147">
        <f>SUMIFS(Table_Query_from_MS_Access_Database[[#All],[HSIP]],Table_Query_from_MS_Access_Database[[#All],[Transaction Year]],"2019",Table_Query_from_MS_Access_Database[[#All],[Transaction Type]],"repayment in")</f>
        <v>0</v>
      </c>
      <c r="P8" s="100">
        <f>SUMIFS(Table_Query_from_MS_Access_Database[[#All],[PLAN]],Table_Query_from_MS_Access_Database[[#All],[Transaction Year]],"2019",Table_Query_from_MS_Access_Database[[#All],[Transaction Type]],"repayment in")</f>
        <v>0</v>
      </c>
      <c r="Q8" s="100">
        <f>SUMIFS(Table_Query_from_MS_Access_Database[[#All],[SPR]],Table_Query_from_MS_Access_Database[[#All],[Transaction Year]],"2019",Table_Query_from_MS_Access_Database[[#All],[Transaction Type]],"repayment in")</f>
        <v>0</v>
      </c>
      <c r="R8" s="100">
        <f>SUMIFS(Table_Query_from_MS_Access_Database[[#All],[STP &lt;5]],Table_Query_from_MS_Access_Database[[#All],[Transaction Year]],"2019",Table_Query_from_MS_Access_Database[[#All],[Transaction Type]],"repayment in")</f>
        <v>61559.01</v>
      </c>
      <c r="S8" s="100">
        <f>SUMIFS(Table_Query_from_MS_Access_Database[[#All],[STP 5-2]],Table_Query_from_MS_Access_Database[[#All],[Transaction Year]],"2019",Table_Query_from_MS_Access_Database[[#All],[Transaction Type]],"repayment in")</f>
        <v>194712</v>
      </c>
      <c r="T8" s="100">
        <f>SUMIFS(Table_Query_from_MS_Access_Database[[#All],[STP Flex]],Table_Query_from_MS_Access_Database[[#All],[Transaction Year]],"2019",Table_Query_from_MS_Access_Database[[#All],[Transaction Type]],"repayment in")</f>
        <v>0</v>
      </c>
      <c r="U8" s="42">
        <f t="shared" si="0"/>
        <v>256271.01</v>
      </c>
      <c r="V8" s="43">
        <f>SUMIFS(Table_Query_from_MS_Access_Database_16[[#All],[Total]],Table_Query_from_MS_Access_Database_16[[#All],[Transaction Year]],"2019",Table_Query_from_MS_Access_Database_16[[#All],[Transaction Type]],"repayment In")</f>
        <v>256271.01</v>
      </c>
    </row>
    <row r="9" spans="1:22" x14ac:dyDescent="0.25">
      <c r="A9" s="187" t="s">
        <v>87</v>
      </c>
      <c r="B9" s="187"/>
      <c r="C9" s="187"/>
      <c r="D9" s="187"/>
      <c r="E9" s="187"/>
      <c r="F9" s="187"/>
      <c r="G9" s="187"/>
      <c r="H9" s="187"/>
      <c r="I9" s="187"/>
      <c r="J9" s="187"/>
      <c r="K9" s="187"/>
      <c r="L9" s="187"/>
      <c r="M9" s="91" t="s">
        <v>72</v>
      </c>
      <c r="N9" s="43">
        <f>SUMIFS(Table_Query_from_MS_Access_Database[[#All],[HURF EXCHANGE]],Table_Query_from_MS_Access_Database[[#All],[Transaction Year]],"2019",Table_Query_from_MS_Access_Database[[#All],[Transaction Type]],"repayment Out")</f>
        <v>0</v>
      </c>
      <c r="O9" s="147">
        <f>SUMIFS(Table_Query_from_MS_Access_Database[[#All],[HSIP]],Table_Query_from_MS_Access_Database[[#All],[Transaction Year]],"2019",Table_Query_from_MS_Access_Database[[#All],[Transaction Type]],"repayment Out")</f>
        <v>0</v>
      </c>
      <c r="P9" s="100">
        <f>SUMIFS(Table_Query_from_MS_Access_Database[[#All],[PLAN]],Table_Query_from_MS_Access_Database[[#All],[Transaction Year]],"2019",Table_Query_from_MS_Access_Database[[#All],[Transaction Type]],"repayment Out")</f>
        <v>0</v>
      </c>
      <c r="Q9" s="100">
        <f>SUMIFS(Table_Query_from_MS_Access_Database[[#All],[SPR]],Table_Query_from_MS_Access_Database[[#All],[Transaction Year]],"2019",Table_Query_from_MS_Access_Database[[#All],[Transaction Type]],"repayment Out")</f>
        <v>0</v>
      </c>
      <c r="R9" s="100">
        <f>SUMIFS(Table_Query_from_MS_Access_Database[[#All],[STP &lt;5]],Table_Query_from_MS_Access_Database[[#All],[Transaction Year]],"2019",Table_Query_from_MS_Access_Database[[#All],[Transaction Type]],"repayment Out")</f>
        <v>0</v>
      </c>
      <c r="S9" s="100">
        <f>SUMIFS(Table_Query_from_MS_Access_Database[[#All],[STP 5-2]],Table_Query_from_MS_Access_Database[[#All],[Transaction Year]],"2019",Table_Query_from_MS_Access_Database[[#All],[Transaction Type]],"repayment Out")</f>
        <v>-185000</v>
      </c>
      <c r="T9" s="100">
        <f>SUMIFS(Table_Query_from_MS_Access_Database[[#All],[STP Flex]],Table_Query_from_MS_Access_Database[[#All],[Transaction Year]],"2019",Table_Query_from_MS_Access_Database[[#All],[Transaction Type]],"repayment Out")</f>
        <v>0</v>
      </c>
      <c r="U9" s="42">
        <f t="shared" si="0"/>
        <v>-185000</v>
      </c>
      <c r="V9" s="43">
        <f>SUMIFS(Table_Query_from_MS_Access_Database_16[[#All],[Total]],Table_Query_from_MS_Access_Database_16[[#All],[Transaction Year]],"2019",Table_Query_from_MS_Access_Database_16[[#All],[Transaction Type]],"Repayment Out")</f>
        <v>-185000</v>
      </c>
    </row>
    <row r="10" spans="1:22" x14ac:dyDescent="0.25">
      <c r="J10" s="34"/>
      <c r="K10" s="34"/>
      <c r="L10" s="34"/>
      <c r="M10" s="91" t="s">
        <v>73</v>
      </c>
      <c r="N10" s="43">
        <f>SUMIFS(Table_Query_from_MS_Access_Database[[#All],[HURF EXCHANGE]],Table_Query_from_MS_Access_Database[[#All],[Transaction Year]],"2019",Table_Query_from_MS_Access_Database[[#All],[Transaction Type]],"Transfer in")</f>
        <v>0</v>
      </c>
      <c r="O10" s="147">
        <f>SUMIFS(Table_Query_from_MS_Access_Database[[#All],[HSIP]],Table_Query_from_MS_Access_Database[[#All],[Transaction Year]],"2019",Table_Query_from_MS_Access_Database[[#All],[Transaction Type]],"Transfer in")</f>
        <v>0</v>
      </c>
      <c r="P10" s="100">
        <f>SUMIFS(Table_Query_from_MS_Access_Database[[#All],[PLAN]],Table_Query_from_MS_Access_Database[[#All],[Transaction Year]],"2019",Table_Query_from_MS_Access_Database[[#All],[Transaction Type]],"Transfer in")</f>
        <v>0</v>
      </c>
      <c r="Q10" s="100">
        <f>SUMIFS(Table_Query_from_MS_Access_Database[[#All],[SPR]],Table_Query_from_MS_Access_Database[[#All],[Transaction Year]],"2019",Table_Query_from_MS_Access_Database[[#All],[Transaction Type]],"Transfer in")</f>
        <v>0</v>
      </c>
      <c r="R10" s="100">
        <f>SUMIFS(Table_Query_from_MS_Access_Database[[#All],[STP &lt;5]],Table_Query_from_MS_Access_Database[[#All],[Transaction Year]],"2019",Table_Query_from_MS_Access_Database[[#All],[Transaction Type]],"Transfer in")</f>
        <v>0</v>
      </c>
      <c r="S10" s="100">
        <f>SUMIFS(Table_Query_from_MS_Access_Database[[#All],[STP 5-2]],Table_Query_from_MS_Access_Database[[#All],[Transaction Year]],"2019",Table_Query_from_MS_Access_Database[[#All],[Transaction Type]],"Transfer in")</f>
        <v>0</v>
      </c>
      <c r="T10" s="100">
        <f>SUMIFS(Table_Query_from_MS_Access_Database[[#All],[STP Flex]],Table_Query_from_MS_Access_Database[[#All],[Transaction Year]],"2019",Table_Query_from_MS_Access_Database[[#All],[Transaction Type]],"Transfer in")</f>
        <v>0</v>
      </c>
      <c r="U10" s="42">
        <f t="shared" si="0"/>
        <v>0</v>
      </c>
      <c r="V10" s="43">
        <f>SUMIFS(Table_Query_from_MS_Access_Database_16[[#All],[Total]],Table_Query_from_MS_Access_Database_16[[#All],[Transaction Year]],"2019",Table_Query_from_MS_Access_Database_16[[#All],[Transaction Type]],"Transfer In")</f>
        <v>0</v>
      </c>
    </row>
    <row r="11" spans="1:22" x14ac:dyDescent="0.25">
      <c r="F11" s="46"/>
      <c r="G11" s="46"/>
      <c r="J11" s="34"/>
      <c r="K11" s="34"/>
      <c r="L11" s="34"/>
      <c r="M11" s="91" t="s">
        <v>74</v>
      </c>
      <c r="N11" s="43">
        <f>SUMIFS(Table_Query_from_MS_Access_Database[[#All],[HURF EXCHANGE]],Table_Query_from_MS_Access_Database[[#All],[Transaction Year]],"2019",Table_Query_from_MS_Access_Database[[#All],[Transaction Type]],"Transfer Out")</f>
        <v>0</v>
      </c>
      <c r="O11" s="147">
        <f>SUMIFS(Table_Query_from_MS_Access_Database[[#All],[HSIP]],Table_Query_from_MS_Access_Database[[#All],[Transaction Year]],"2019",Table_Query_from_MS_Access_Database[[#All],[Transaction Type]],"Transfer Out")</f>
        <v>0</v>
      </c>
      <c r="P11" s="100">
        <f>SUMIFS(Table_Query_from_MS_Access_Database[[#All],[PLAN]],Table_Query_from_MS_Access_Database[[#All],[Transaction Year]],"2019",Table_Query_from_MS_Access_Database[[#All],[Transaction Type]],"Transfer Out")</f>
        <v>0</v>
      </c>
      <c r="Q11" s="100">
        <f>SUMIFS(Table_Query_from_MS_Access_Database[[#All],[SPR]],Table_Query_from_MS_Access_Database[[#All],[Transaction Year]],"2019",Table_Query_from_MS_Access_Database[[#All],[Transaction Type]],"Transfer Out")</f>
        <v>0</v>
      </c>
      <c r="R11" s="100">
        <f>SUMIFS(Table_Query_from_MS_Access_Database[[#All],[STP &lt;5]],Table_Query_from_MS_Access_Database[[#All],[Transaction Year]],"2019",Table_Query_from_MS_Access_Database[[#All],[Transaction Type]],"Transfer Out")</f>
        <v>0</v>
      </c>
      <c r="S11" s="100">
        <f>SUMIFS(Table_Query_from_MS_Access_Database[[#All],[STP 5-2]],Table_Query_from_MS_Access_Database[[#All],[Transaction Year]],"2019",Table_Query_from_MS_Access_Database[[#All],[Transaction Type]],"Transfer Out")</f>
        <v>0</v>
      </c>
      <c r="T11" s="100">
        <f>SUMIFS(Table_Query_from_MS_Access_Database[[#All],[STP Flex]],Table_Query_from_MS_Access_Database[[#All],[Transaction Year]],"2019",Table_Query_from_MS_Access_Database[[#All],[Transaction Type]],"Transfer Out")</f>
        <v>0</v>
      </c>
      <c r="U11" s="42">
        <f t="shared" si="0"/>
        <v>0</v>
      </c>
      <c r="V11" s="43">
        <f>SUMIFS(Table_Query_from_MS_Access_Database_16[[#All],[Total]],Table_Query_from_MS_Access_Database_16[[#All],[Transaction Year]],"2019",Table_Query_from_MS_Access_Database_16[[#All],[Transaction Type]],"Transfer Out")</f>
        <v>0</v>
      </c>
    </row>
    <row r="12" spans="1:22" ht="54" x14ac:dyDescent="0.25">
      <c r="J12" s="34"/>
      <c r="K12" s="34"/>
      <c r="L12" s="34"/>
      <c r="M12" s="92" t="s">
        <v>144</v>
      </c>
      <c r="N12" s="47">
        <f t="shared" ref="N12" si="1">SUM(N4:N11)</f>
        <v>0</v>
      </c>
      <c r="O12" s="148">
        <f t="shared" ref="O12:T12" si="2">SUM(O4:O11)</f>
        <v>0</v>
      </c>
      <c r="P12" s="48">
        <f t="shared" si="2"/>
        <v>309576</v>
      </c>
      <c r="Q12" s="48">
        <f t="shared" si="2"/>
        <v>175000</v>
      </c>
      <c r="R12" s="48">
        <f t="shared" si="2"/>
        <v>972542.01</v>
      </c>
      <c r="S12" s="48">
        <f t="shared" si="2"/>
        <v>178958</v>
      </c>
      <c r="T12" s="48">
        <f t="shared" si="2"/>
        <v>0</v>
      </c>
      <c r="U12" s="80">
        <f t="shared" ref="U12" si="3">SUM(O12:T12)</f>
        <v>1636076.01</v>
      </c>
      <c r="V12" s="47">
        <f>SUM(V4:V11)</f>
        <v>1556271.01</v>
      </c>
    </row>
    <row r="13" spans="1:22" x14ac:dyDescent="0.25">
      <c r="J13" s="34"/>
      <c r="K13" s="34"/>
      <c r="L13" s="34"/>
      <c r="M13" s="34"/>
      <c r="N13" s="49"/>
      <c r="O13" s="50"/>
      <c r="P13" s="50"/>
      <c r="Q13" s="50"/>
      <c r="R13" s="50"/>
      <c r="S13" s="50"/>
      <c r="T13" s="44"/>
    </row>
    <row r="14" spans="1:22" ht="15.75" customHeight="1" x14ac:dyDescent="0.25">
      <c r="A14" s="186" t="s">
        <v>62</v>
      </c>
      <c r="B14" s="186"/>
      <c r="C14" s="186"/>
      <c r="D14" s="186"/>
      <c r="J14" s="189" t="s">
        <v>63</v>
      </c>
      <c r="K14" s="190"/>
      <c r="L14" s="190"/>
      <c r="M14" s="191"/>
      <c r="N14" s="51"/>
      <c r="R14" s="52"/>
      <c r="S14" s="52"/>
      <c r="T14" s="52"/>
    </row>
    <row r="15" spans="1:22" s="55" customFormat="1" ht="27" x14ac:dyDescent="0.25">
      <c r="A15" s="126" t="s">
        <v>1</v>
      </c>
      <c r="B15" s="126" t="s">
        <v>0</v>
      </c>
      <c r="C15" s="126" t="s">
        <v>3</v>
      </c>
      <c r="D15" s="126" t="s">
        <v>84</v>
      </c>
      <c r="E15" s="126" t="s">
        <v>2</v>
      </c>
      <c r="F15" s="126" t="s">
        <v>46</v>
      </c>
      <c r="G15" s="126" t="s">
        <v>47</v>
      </c>
      <c r="H15" s="126" t="s">
        <v>48</v>
      </c>
      <c r="I15" s="86" t="s">
        <v>138</v>
      </c>
      <c r="J15" s="126" t="s">
        <v>49</v>
      </c>
      <c r="K15" s="86" t="s">
        <v>50</v>
      </c>
      <c r="L15" s="86" t="s">
        <v>51</v>
      </c>
      <c r="M15" s="126" t="s">
        <v>52</v>
      </c>
      <c r="N15" s="126" t="s">
        <v>152</v>
      </c>
      <c r="O15" s="126" t="s">
        <v>4</v>
      </c>
      <c r="P15" s="126" t="s">
        <v>42</v>
      </c>
      <c r="Q15" s="126" t="s">
        <v>5</v>
      </c>
      <c r="R15" s="86" t="s">
        <v>131</v>
      </c>
      <c r="S15" s="86" t="s">
        <v>155</v>
      </c>
      <c r="T15" s="86" t="s">
        <v>53</v>
      </c>
      <c r="U15" s="86" t="s">
        <v>85</v>
      </c>
      <c r="V15" s="86" t="s">
        <v>92</v>
      </c>
    </row>
    <row r="16" spans="1:22" s="58" customFormat="1" ht="13.5" x14ac:dyDescent="0.25">
      <c r="A16" s="58" t="s">
        <v>163</v>
      </c>
      <c r="C16" s="58" t="s">
        <v>94</v>
      </c>
      <c r="D16" s="58" t="s">
        <v>8</v>
      </c>
      <c r="E16" s="145" t="s">
        <v>164</v>
      </c>
      <c r="F16" s="128" t="s">
        <v>134</v>
      </c>
      <c r="G16" s="128" t="s">
        <v>137</v>
      </c>
      <c r="H16" s="128" t="s">
        <v>136</v>
      </c>
      <c r="I16" s="128" t="str">
        <f>CONCATENATE(Table_Query_from_MS_Access_Database8[RTE],Table_Query_from_MS_Access_Database8[SEC],Table_Query_from_MS_Access_Database8[SEQ])</f>
        <v>YMPP019</v>
      </c>
      <c r="J16" s="128">
        <v>43374</v>
      </c>
      <c r="K16" s="125">
        <v>43374</v>
      </c>
      <c r="L16" s="125">
        <v>43374</v>
      </c>
      <c r="M16" s="125">
        <v>43374</v>
      </c>
      <c r="N16" s="138"/>
      <c r="O16" s="138"/>
      <c r="P16" s="138">
        <v>308032</v>
      </c>
      <c r="Q16" s="138"/>
      <c r="R16" s="139"/>
      <c r="S16" s="104"/>
      <c r="T16" s="104"/>
      <c r="U16" s="104">
        <f>SUM(Table_Query_from_MS_Access_Database8[[#This Row],[HURF EX]:[STP OTHER]])</f>
        <v>308032</v>
      </c>
      <c r="V16" s="104">
        <f>V12-Table_Query_from_MS_Access_Database8[TOTAL OF AMOUNT]</f>
        <v>1248239.01</v>
      </c>
    </row>
    <row r="17" spans="1:22" s="58" customFormat="1" ht="13.5" x14ac:dyDescent="0.25">
      <c r="A17" s="146" t="s">
        <v>132</v>
      </c>
      <c r="B17" s="146"/>
      <c r="C17" s="146" t="s">
        <v>94</v>
      </c>
      <c r="D17" s="146" t="s">
        <v>8</v>
      </c>
      <c r="E17" s="146" t="s">
        <v>133</v>
      </c>
      <c r="F17" s="135" t="s">
        <v>134</v>
      </c>
      <c r="G17" s="135" t="s">
        <v>135</v>
      </c>
      <c r="H17" s="135" t="s">
        <v>136</v>
      </c>
      <c r="I17" s="135" t="str">
        <f>CONCATENATE(Table_Query_from_MS_Access_Database8[RTE],Table_Query_from_MS_Access_Database8[SEC],Table_Query_from_MS_Access_Database8[SEQ])</f>
        <v>YMPS019</v>
      </c>
      <c r="J17" s="135">
        <v>43374</v>
      </c>
      <c r="K17" s="136">
        <v>43374</v>
      </c>
      <c r="L17" s="136">
        <v>43374</v>
      </c>
      <c r="M17" s="136">
        <v>43374</v>
      </c>
      <c r="N17" s="140"/>
      <c r="O17" s="140"/>
      <c r="P17" s="140"/>
      <c r="Q17" s="140">
        <v>131250</v>
      </c>
      <c r="R17" s="140"/>
      <c r="S17" s="140"/>
      <c r="T17" s="140"/>
      <c r="U17" s="104">
        <f>SUM(Table_Query_from_MS_Access_Database8[[#This Row],[HURF EX]:[STP OTHER]])</f>
        <v>131250</v>
      </c>
      <c r="V17" s="162">
        <f>V16-Table_Query_from_MS_Access_Database8[TOTAL OF AMOUNT]</f>
        <v>1116989.01</v>
      </c>
    </row>
    <row r="18" spans="1:22" s="58" customFormat="1" ht="13.5" x14ac:dyDescent="0.25">
      <c r="A18" s="157" t="s">
        <v>205</v>
      </c>
      <c r="B18" s="157" t="s">
        <v>206</v>
      </c>
      <c r="C18" s="157" t="s">
        <v>198</v>
      </c>
      <c r="D18" s="157" t="s">
        <v>9</v>
      </c>
      <c r="E18" s="157" t="s">
        <v>199</v>
      </c>
      <c r="F18" s="158" t="s">
        <v>200</v>
      </c>
      <c r="G18" s="158" t="s">
        <v>127</v>
      </c>
      <c r="H18" s="158" t="s">
        <v>201</v>
      </c>
      <c r="I18" s="159" t="str">
        <f>CONCATENATE(Table_Query_from_MS_Access_Database8[RTE],Table_Query_from_MS_Access_Database8[SEC],Table_Query_from_MS_Access_Database8[SEQ])</f>
        <v>YYU0207</v>
      </c>
      <c r="J18" s="158"/>
      <c r="K18" s="160">
        <v>43397</v>
      </c>
      <c r="L18" s="160">
        <v>43397</v>
      </c>
      <c r="M18" s="160">
        <v>43409</v>
      </c>
      <c r="N18" s="161"/>
      <c r="O18" s="161">
        <v>-346.67</v>
      </c>
      <c r="P18" s="161"/>
      <c r="Q18" s="161"/>
      <c r="R18" s="161"/>
      <c r="S18" s="161"/>
      <c r="T18" s="161"/>
      <c r="U18" s="162">
        <f>SUM(Table_Query_from_MS_Access_Database8[[#This Row],[HURF EX]:[STP OTHER]])</f>
        <v>-346.67</v>
      </c>
      <c r="V18" s="162">
        <f>V17-Table_Query_from_MS_Access_Database8[TOTAL OF AMOUNT]</f>
        <v>1117335.68</v>
      </c>
    </row>
    <row r="19" spans="1:22" s="58" customFormat="1" ht="13.5" x14ac:dyDescent="0.25">
      <c r="A19" s="164" t="s">
        <v>207</v>
      </c>
      <c r="B19" s="164"/>
      <c r="C19" s="164" t="s">
        <v>198</v>
      </c>
      <c r="D19" s="164" t="s">
        <v>9</v>
      </c>
      <c r="E19" s="164" t="s">
        <v>208</v>
      </c>
      <c r="F19" s="165" t="s">
        <v>200</v>
      </c>
      <c r="G19" s="165" t="s">
        <v>127</v>
      </c>
      <c r="H19" s="165" t="s">
        <v>201</v>
      </c>
      <c r="I19" s="166" t="str">
        <f>CONCATENATE(Table_Query_from_MS_Access_Database8[RTE],Table_Query_from_MS_Access_Database8[SEC],Table_Query_from_MS_Access_Database8[SEQ])</f>
        <v>YYU0207</v>
      </c>
      <c r="J19" s="165"/>
      <c r="K19" s="167">
        <v>43397</v>
      </c>
      <c r="L19" s="167">
        <v>43397</v>
      </c>
      <c r="M19" s="167">
        <v>43409</v>
      </c>
      <c r="N19" s="168"/>
      <c r="O19" s="168">
        <v>-13.45</v>
      </c>
      <c r="P19" s="168"/>
      <c r="Q19" s="168"/>
      <c r="R19" s="168"/>
      <c r="S19" s="168"/>
      <c r="T19" s="168"/>
      <c r="U19" s="169">
        <f>SUM(Table_Query_from_MS_Access_Database8[[#This Row],[HURF EX]:[STP OTHER]])</f>
        <v>-13.45</v>
      </c>
      <c r="V19" s="162">
        <f>V18-Table_Query_from_MS_Access_Database8[TOTAL OF AMOUNT]</f>
        <v>1117349.1299999999</v>
      </c>
    </row>
    <row r="20" spans="1:22" s="58" customFormat="1" ht="13.5" x14ac:dyDescent="0.25">
      <c r="A20" s="164" t="s">
        <v>196</v>
      </c>
      <c r="B20" s="164" t="s">
        <v>197</v>
      </c>
      <c r="C20" s="164" t="s">
        <v>198</v>
      </c>
      <c r="D20" s="164" t="s">
        <v>9</v>
      </c>
      <c r="E20" s="164" t="s">
        <v>199</v>
      </c>
      <c r="F20" s="165" t="s">
        <v>200</v>
      </c>
      <c r="G20" s="165" t="s">
        <v>127</v>
      </c>
      <c r="H20" s="165" t="s">
        <v>201</v>
      </c>
      <c r="I20" s="166" t="str">
        <f>CONCATENATE(Table_Query_from_MS_Access_Database8[RTE],Table_Query_from_MS_Access_Database8[SEC],Table_Query_from_MS_Access_Database8[SEQ])</f>
        <v>YYU0207</v>
      </c>
      <c r="J20" s="165"/>
      <c r="K20" s="167">
        <v>43397</v>
      </c>
      <c r="L20" s="167">
        <v>43397</v>
      </c>
      <c r="M20" s="167">
        <v>43409</v>
      </c>
      <c r="N20" s="168"/>
      <c r="O20" s="168">
        <v>-33556.19</v>
      </c>
      <c r="P20" s="168"/>
      <c r="Q20" s="168"/>
      <c r="R20" s="168"/>
      <c r="S20" s="168"/>
      <c r="T20" s="168"/>
      <c r="U20" s="169">
        <f>SUM(Table_Query_from_MS_Access_Database8[[#This Row],[HURF EX]:[STP OTHER]])</f>
        <v>-33556.19</v>
      </c>
      <c r="V20" s="162">
        <f>V19-Table_Query_from_MS_Access_Database8[TOTAL OF AMOUNT]</f>
        <v>1150905.3199999998</v>
      </c>
    </row>
    <row r="21" spans="1:22" s="99" customFormat="1" ht="13.5" x14ac:dyDescent="0.25">
      <c r="A21" s="171" t="s">
        <v>163</v>
      </c>
      <c r="B21" s="171"/>
      <c r="C21" s="171" t="s">
        <v>94</v>
      </c>
      <c r="D21" s="171" t="s">
        <v>8</v>
      </c>
      <c r="E21" s="171" t="s">
        <v>164</v>
      </c>
      <c r="F21" s="172" t="s">
        <v>134</v>
      </c>
      <c r="G21" s="172" t="s">
        <v>137</v>
      </c>
      <c r="H21" s="172" t="s">
        <v>136</v>
      </c>
      <c r="I21" s="173" t="str">
        <f>CONCATENATE(Table_Query_from_MS_Access_Database8[RTE],Table_Query_from_MS_Access_Database8[SEC],Table_Query_from_MS_Access_Database8[SEQ])</f>
        <v>YMPP019</v>
      </c>
      <c r="J21" s="172">
        <v>43405</v>
      </c>
      <c r="K21" s="174">
        <v>43434</v>
      </c>
      <c r="L21" s="174">
        <v>43438</v>
      </c>
      <c r="M21" s="174">
        <v>43447</v>
      </c>
      <c r="N21" s="175"/>
      <c r="O21" s="175"/>
      <c r="P21" s="175">
        <v>47084.42</v>
      </c>
      <c r="Q21" s="175"/>
      <c r="R21" s="175"/>
      <c r="S21" s="175"/>
      <c r="T21" s="175"/>
      <c r="U21" s="170">
        <f>SUM(Table_Query_from_MS_Access_Database8[[#This Row],[HURF EX]:[STP OTHER]])</f>
        <v>47084.42</v>
      </c>
      <c r="V21" s="162">
        <f>V20-Table_Query_from_MS_Access_Database8[TOTAL OF AMOUNT]</f>
        <v>1103820.8999999999</v>
      </c>
    </row>
    <row r="22" spans="1:22" s="99" customFormat="1" ht="13.5" x14ac:dyDescent="0.25">
      <c r="A22" s="171" t="s">
        <v>132</v>
      </c>
      <c r="B22" s="171"/>
      <c r="C22" s="171" t="s">
        <v>94</v>
      </c>
      <c r="D22" s="171" t="s">
        <v>23</v>
      </c>
      <c r="E22" s="171" t="s">
        <v>133</v>
      </c>
      <c r="F22" s="172" t="s">
        <v>134</v>
      </c>
      <c r="G22" s="172" t="s">
        <v>135</v>
      </c>
      <c r="H22" s="172" t="s">
        <v>136</v>
      </c>
      <c r="I22" s="173" t="str">
        <f>CONCATENATE(Table_Query_from_MS_Access_Database8[RTE],Table_Query_from_MS_Access_Database8[SEC],Table_Query_from_MS_Access_Database8[SEQ])</f>
        <v>YMPS019</v>
      </c>
      <c r="J22" s="172">
        <v>43405</v>
      </c>
      <c r="K22" s="174">
        <v>43434</v>
      </c>
      <c r="L22" s="174">
        <v>43438</v>
      </c>
      <c r="M22" s="174">
        <v>43447</v>
      </c>
      <c r="N22" s="175"/>
      <c r="O22" s="175"/>
      <c r="P22" s="175"/>
      <c r="Q22" s="175">
        <v>29836.240000000002</v>
      </c>
      <c r="R22" s="175"/>
      <c r="S22" s="175"/>
      <c r="T22" s="175"/>
      <c r="U22" s="170">
        <f>SUM(Table_Query_from_MS_Access_Database8[[#This Row],[HURF EX]:[STP OTHER]])</f>
        <v>29836.240000000002</v>
      </c>
      <c r="V22" s="162">
        <f>V21-Table_Query_from_MS_Access_Database8[TOTAL OF AMOUNT]</f>
        <v>1073984.6599999999</v>
      </c>
    </row>
    <row r="23" spans="1:22" s="99" customFormat="1" ht="13.5" x14ac:dyDescent="0.25">
      <c r="A23" s="171" t="s">
        <v>214</v>
      </c>
      <c r="B23" s="171"/>
      <c r="C23" s="171" t="s">
        <v>94</v>
      </c>
      <c r="D23" s="171" t="s">
        <v>8</v>
      </c>
      <c r="E23" s="171" t="s">
        <v>215</v>
      </c>
      <c r="F23" s="172" t="s">
        <v>134</v>
      </c>
      <c r="G23" s="172" t="s">
        <v>137</v>
      </c>
      <c r="H23" s="172" t="s">
        <v>216</v>
      </c>
      <c r="I23" s="173" t="str">
        <f>CONCATENATE(Table_Query_from_MS_Access_Database8[RTE],Table_Query_from_MS_Access_Database8[SEC],Table_Query_from_MS_Access_Database8[SEQ])</f>
        <v>YMPP018</v>
      </c>
      <c r="J23" s="172">
        <v>43405</v>
      </c>
      <c r="K23" s="174">
        <v>43434</v>
      </c>
      <c r="L23" s="174">
        <v>43438</v>
      </c>
      <c r="M23" s="174">
        <v>43447</v>
      </c>
      <c r="N23" s="175"/>
      <c r="O23" s="175"/>
      <c r="P23" s="175">
        <v>-47084.42</v>
      </c>
      <c r="Q23" s="175"/>
      <c r="R23" s="175"/>
      <c r="S23" s="175"/>
      <c r="T23" s="175"/>
      <c r="U23" s="170">
        <f>SUM(Table_Query_from_MS_Access_Database8[[#This Row],[HURF EX]:[STP OTHER]])</f>
        <v>-47084.42</v>
      </c>
      <c r="V23" s="162">
        <f>V22-Table_Query_from_MS_Access_Database8[TOTAL OF AMOUNT]</f>
        <v>1121069.0799999998</v>
      </c>
    </row>
    <row r="24" spans="1:22" s="99" customFormat="1" ht="13.5" x14ac:dyDescent="0.25">
      <c r="A24" s="171" t="s">
        <v>217</v>
      </c>
      <c r="B24" s="171"/>
      <c r="C24" s="171" t="s">
        <v>94</v>
      </c>
      <c r="D24" s="171" t="s">
        <v>8</v>
      </c>
      <c r="E24" s="171" t="s">
        <v>218</v>
      </c>
      <c r="F24" s="172" t="s">
        <v>134</v>
      </c>
      <c r="G24" s="172" t="s">
        <v>135</v>
      </c>
      <c r="H24" s="172" t="s">
        <v>216</v>
      </c>
      <c r="I24" s="173" t="str">
        <f>CONCATENATE(Table_Query_from_MS_Access_Database8[RTE],Table_Query_from_MS_Access_Database8[SEC],Table_Query_from_MS_Access_Database8[SEQ])</f>
        <v>YMPS018</v>
      </c>
      <c r="J24" s="172">
        <v>43405</v>
      </c>
      <c r="K24" s="174">
        <v>43434</v>
      </c>
      <c r="L24" s="174">
        <v>43438</v>
      </c>
      <c r="M24" s="174">
        <v>43447</v>
      </c>
      <c r="N24" s="175"/>
      <c r="O24" s="175"/>
      <c r="P24" s="175"/>
      <c r="Q24" s="175">
        <v>-29836.240000000002</v>
      </c>
      <c r="R24" s="175"/>
      <c r="S24" s="175"/>
      <c r="T24" s="175"/>
      <c r="U24" s="170">
        <f>SUM(Table_Query_from_MS_Access_Database8[[#This Row],[HURF EX]:[STP OTHER]])</f>
        <v>-29836.240000000002</v>
      </c>
      <c r="V24" s="162">
        <f>V23-Table_Query_from_MS_Access_Database8[TOTAL OF AMOUNT]</f>
        <v>1150905.3199999998</v>
      </c>
    </row>
    <row r="25" spans="1:22" s="58" customFormat="1" ht="13.5" x14ac:dyDescent="0.25">
      <c r="A25" s="171" t="s">
        <v>209</v>
      </c>
      <c r="B25" s="171" t="s">
        <v>210</v>
      </c>
      <c r="C25" s="171" t="s">
        <v>219</v>
      </c>
      <c r="D25" s="171" t="s">
        <v>9</v>
      </c>
      <c r="E25" s="171" t="s">
        <v>211</v>
      </c>
      <c r="F25" s="172" t="s">
        <v>212</v>
      </c>
      <c r="G25" s="172" t="s">
        <v>127</v>
      </c>
      <c r="H25" s="172" t="s">
        <v>213</v>
      </c>
      <c r="I25" s="173" t="str">
        <f>CONCATENATE(Table_Query_from_MS_Access_Database8[RTE],Table_Query_from_MS_Access_Database8[SEC],Table_Query_from_MS_Access_Database8[SEQ])</f>
        <v>YCT0209</v>
      </c>
      <c r="J25" s="172"/>
      <c r="K25" s="174">
        <v>43508</v>
      </c>
      <c r="L25" s="174">
        <v>43508</v>
      </c>
      <c r="M25" s="174">
        <v>43528</v>
      </c>
      <c r="N25" s="175"/>
      <c r="O25" s="175"/>
      <c r="P25" s="175"/>
      <c r="Q25" s="175"/>
      <c r="R25" s="175"/>
      <c r="S25" s="175">
        <v>-7851.12</v>
      </c>
      <c r="T25" s="175"/>
      <c r="U25" s="170">
        <f>SUM(Table_Query_from_MS_Access_Database8[[#This Row],[HURF EX]:[STP OTHER]])</f>
        <v>-7851.12</v>
      </c>
      <c r="V25" s="162">
        <f>V24-Table_Query_from_MS_Access_Database8[TOTAL OF AMOUNT]</f>
        <v>1158756.44</v>
      </c>
    </row>
    <row r="26" spans="1:22" s="99" customFormat="1" ht="13.5" x14ac:dyDescent="0.25">
      <c r="A26" s="171" t="s">
        <v>178</v>
      </c>
      <c r="B26" s="171" t="s">
        <v>179</v>
      </c>
      <c r="C26" s="171" t="s">
        <v>180</v>
      </c>
      <c r="D26" s="171" t="s">
        <v>7</v>
      </c>
      <c r="E26" s="171" t="s">
        <v>181</v>
      </c>
      <c r="F26" s="172" t="s">
        <v>182</v>
      </c>
      <c r="G26" s="172" t="s">
        <v>127</v>
      </c>
      <c r="H26" s="172" t="s">
        <v>183</v>
      </c>
      <c r="I26" s="173" t="str">
        <f>CONCATENATE(Table_Query_from_MS_Access_Database8[RTE],Table_Query_from_MS_Access_Database8[SEC],Table_Query_from_MS_Access_Database8[SEQ])</f>
        <v>WEL0200</v>
      </c>
      <c r="J26" s="172">
        <v>43472</v>
      </c>
      <c r="K26" s="174">
        <v>43539</v>
      </c>
      <c r="L26" s="174">
        <v>43543</v>
      </c>
      <c r="M26" s="174">
        <v>43550</v>
      </c>
      <c r="N26" s="175"/>
      <c r="O26" s="175"/>
      <c r="P26" s="175"/>
      <c r="Q26" s="175"/>
      <c r="R26" s="175">
        <v>972413</v>
      </c>
      <c r="S26" s="175"/>
      <c r="T26" s="175"/>
      <c r="U26" s="170">
        <f>SUM(Table_Query_from_MS_Access_Database8[[#This Row],[HURF EX]:[STP OTHER]])</f>
        <v>972413</v>
      </c>
      <c r="V26" s="162">
        <f>V25-Table_Query_from_MS_Access_Database8[TOTAL OF AMOUNT]</f>
        <v>186343.43999999994</v>
      </c>
    </row>
    <row r="27" spans="1:22" s="99" customFormat="1" ht="13.5" x14ac:dyDescent="0.25">
      <c r="A27" s="58"/>
      <c r="B27" s="58"/>
      <c r="C27" s="58"/>
      <c r="D27" s="58"/>
      <c r="E27" s="53"/>
      <c r="F27" s="53"/>
      <c r="G27" s="53"/>
      <c r="H27" s="53"/>
      <c r="I27" s="53"/>
      <c r="J27" s="53"/>
      <c r="K27" s="53"/>
      <c r="L27" s="53"/>
      <c r="M27" s="85" t="s">
        <v>76</v>
      </c>
      <c r="N27" s="105">
        <f>SUM(Table_Query_from_MS_Access_Database8[[#All],[HURF EX]])</f>
        <v>0</v>
      </c>
      <c r="O27" s="105">
        <f>SUM(Table_Query_from_MS_Access_Database8[[#All],[HSIP]])</f>
        <v>-33916.310000000005</v>
      </c>
      <c r="P27" s="105">
        <f>SUM(Table_Query_from_MS_Access_Database8[[#All],[PL]])</f>
        <v>308032</v>
      </c>
      <c r="Q27" s="105">
        <f>SUM(Table_Query_from_MS_Access_Database8[[#All],[SPR]])</f>
        <v>131250</v>
      </c>
      <c r="R27" s="105">
        <f>SUM(Table_Query_from_MS_Access_Database8[[#All],[STP &lt;5]])</f>
        <v>972413</v>
      </c>
      <c r="S27" s="105">
        <f>SUM(Table_Query_from_MS_Access_Database8[[#All],[STP 5-200]])</f>
        <v>-7851.12</v>
      </c>
      <c r="T27" s="105">
        <f>SUM(Table_Query_from_MS_Access_Database8[[#All],[STP OTHER]])</f>
        <v>0</v>
      </c>
      <c r="U27" s="105">
        <f>SUM(Table_Query_from_MS_Access_Database8[[#All],[TOTAL OF AMOUNT]])</f>
        <v>1369927.57</v>
      </c>
      <c r="V27" s="104"/>
    </row>
    <row r="28" spans="1:22" s="99" customFormat="1" ht="27" x14ac:dyDescent="0.25">
      <c r="E28" s="53"/>
      <c r="F28" s="53"/>
      <c r="G28" s="53"/>
      <c r="H28" s="53"/>
      <c r="I28" s="53"/>
      <c r="J28" s="53"/>
      <c r="K28" s="53"/>
      <c r="L28" s="53"/>
      <c r="M28" s="85" t="s">
        <v>75</v>
      </c>
      <c r="N28" s="105">
        <f t="shared" ref="N28:U28" si="4">+N12-N27</f>
        <v>0</v>
      </c>
      <c r="O28" s="105">
        <f t="shared" si="4"/>
        <v>33916.310000000005</v>
      </c>
      <c r="P28" s="105">
        <f t="shared" si="4"/>
        <v>1544</v>
      </c>
      <c r="Q28" s="105">
        <f t="shared" si="4"/>
        <v>43750</v>
      </c>
      <c r="R28" s="105">
        <f t="shared" si="4"/>
        <v>129.01000000000931</v>
      </c>
      <c r="S28" s="105">
        <f t="shared" si="4"/>
        <v>186809.12</v>
      </c>
      <c r="T28" s="105">
        <f t="shared" si="4"/>
        <v>0</v>
      </c>
      <c r="U28" s="105">
        <f t="shared" si="4"/>
        <v>266148.43999999994</v>
      </c>
      <c r="V28" s="104"/>
    </row>
    <row r="29" spans="1:22" s="99" customFormat="1" ht="15" x14ac:dyDescent="0.25">
      <c r="A29" s="60"/>
      <c r="B29" s="60"/>
      <c r="C29" s="60"/>
      <c r="D29" s="60"/>
      <c r="E29" s="54"/>
      <c r="F29" s="54"/>
      <c r="G29" s="54"/>
      <c r="H29" s="54"/>
      <c r="I29" s="54"/>
      <c r="J29" s="54"/>
      <c r="K29" s="54"/>
      <c r="L29" s="54"/>
      <c r="M29" s="60"/>
      <c r="N29" s="60"/>
      <c r="O29" s="60"/>
      <c r="P29" s="60"/>
      <c r="Q29" s="60"/>
      <c r="R29" s="60"/>
      <c r="S29" s="52"/>
      <c r="T29" s="58"/>
      <c r="U29" s="58"/>
      <c r="V29" s="63"/>
    </row>
    <row r="30" spans="1:22" s="99" customFormat="1" ht="17.25" x14ac:dyDescent="0.3">
      <c r="A30" s="186" t="s">
        <v>35</v>
      </c>
      <c r="B30" s="186"/>
      <c r="C30" s="186"/>
      <c r="D30" s="186"/>
      <c r="E30" s="59"/>
      <c r="F30" s="59"/>
      <c r="G30" s="60"/>
      <c r="H30" s="60"/>
      <c r="I30" s="60"/>
      <c r="J30" s="62"/>
      <c r="K30" s="61"/>
      <c r="L30" s="61"/>
      <c r="M30" s="61"/>
      <c r="N30" s="61"/>
      <c r="O30" s="52"/>
      <c r="P30" s="52"/>
      <c r="Q30" s="54"/>
      <c r="R30" s="54"/>
      <c r="S30" s="52"/>
      <c r="T30" s="58"/>
      <c r="U30" s="58"/>
      <c r="V30" s="63"/>
    </row>
    <row r="31" spans="1:22" s="58" customFormat="1" ht="40.5" x14ac:dyDescent="0.25">
      <c r="A31" s="86" t="s">
        <v>1</v>
      </c>
      <c r="B31" s="86" t="s">
        <v>0</v>
      </c>
      <c r="C31" s="86" t="s">
        <v>3</v>
      </c>
      <c r="D31" s="86" t="s">
        <v>84</v>
      </c>
      <c r="E31" s="86" t="s">
        <v>2</v>
      </c>
      <c r="F31" s="86" t="s">
        <v>46</v>
      </c>
      <c r="G31" s="86" t="s">
        <v>47</v>
      </c>
      <c r="H31" s="86" t="s">
        <v>48</v>
      </c>
      <c r="I31" s="86" t="s">
        <v>138</v>
      </c>
      <c r="J31" s="94" t="s">
        <v>49</v>
      </c>
      <c r="K31" s="86" t="s">
        <v>50</v>
      </c>
      <c r="L31" s="86" t="s">
        <v>51</v>
      </c>
      <c r="M31" s="86" t="s">
        <v>52</v>
      </c>
      <c r="N31" s="86" t="s">
        <v>152</v>
      </c>
      <c r="O31" s="86" t="s">
        <v>4</v>
      </c>
      <c r="P31" s="86" t="s">
        <v>42</v>
      </c>
      <c r="Q31" s="86" t="s">
        <v>5</v>
      </c>
      <c r="R31" s="86" t="s">
        <v>131</v>
      </c>
      <c r="S31" s="86" t="s">
        <v>155</v>
      </c>
      <c r="T31" s="86" t="s">
        <v>53</v>
      </c>
      <c r="U31" s="86" t="s">
        <v>85</v>
      </c>
      <c r="V31" s="86" t="s">
        <v>54</v>
      </c>
    </row>
    <row r="32" spans="1:22" s="58" customFormat="1" ht="13.5" x14ac:dyDescent="0.25">
      <c r="A32" s="58" t="s">
        <v>163</v>
      </c>
      <c r="C32" s="58" t="s">
        <v>94</v>
      </c>
      <c r="D32" s="58" t="s">
        <v>8</v>
      </c>
      <c r="E32" s="84" t="s">
        <v>164</v>
      </c>
      <c r="F32" s="127" t="s">
        <v>134</v>
      </c>
      <c r="G32" s="128" t="s">
        <v>137</v>
      </c>
      <c r="H32" s="128" t="s">
        <v>136</v>
      </c>
      <c r="I32" s="128" t="str">
        <f>CONCATENATE(Table_Query_from_MS_Access_Database_1[RTE],Table_Query_from_MS_Access_Database_1[SEC],Table_Query_from_MS_Access_Database_1[SEQ])</f>
        <v>YMPP019</v>
      </c>
      <c r="J32" s="125"/>
      <c r="K32" s="137">
        <v>43572</v>
      </c>
      <c r="L32" s="137">
        <v>43578</v>
      </c>
      <c r="M32" s="137"/>
      <c r="N32" s="150"/>
      <c r="O32" s="138"/>
      <c r="P32" s="138">
        <v>1544</v>
      </c>
      <c r="Q32" s="138"/>
      <c r="R32" s="139"/>
      <c r="S32" s="104"/>
      <c r="T32" s="104"/>
      <c r="U32" s="104">
        <f>SUM(Table_Query_from_MS_Access_Database_1[[#This Row],[HURF EX]:[STP OTHER]])</f>
        <v>1544</v>
      </c>
      <c r="V32" s="129">
        <f>V26-Table_Query_from_MS_Access_Database_1[TOTAL OF AMOUNT]</f>
        <v>184799.43999999994</v>
      </c>
    </row>
    <row r="33" spans="1:22" s="58" customFormat="1" ht="13.5" x14ac:dyDescent="0.25">
      <c r="A33" s="151" t="s">
        <v>172</v>
      </c>
      <c r="B33" s="151"/>
      <c r="C33" s="151" t="s">
        <v>94</v>
      </c>
      <c r="D33" s="151" t="s">
        <v>7</v>
      </c>
      <c r="E33" s="152" t="s">
        <v>173</v>
      </c>
      <c r="F33" s="153" t="s">
        <v>134</v>
      </c>
      <c r="G33" s="154" t="s">
        <v>135</v>
      </c>
      <c r="H33" s="154" t="s">
        <v>174</v>
      </c>
      <c r="I33" s="154" t="str">
        <f>CONCATENATE(Table_Query_from_MS_Access_Database_1[RTE],Table_Query_from_MS_Access_Database_1[SEC],Table_Query_from_MS_Access_Database_1[SEQ])</f>
        <v>YMPS020</v>
      </c>
      <c r="J33" s="155">
        <v>43617</v>
      </c>
      <c r="K33" s="156"/>
      <c r="L33" s="156"/>
      <c r="M33" s="156"/>
      <c r="N33" s="150"/>
      <c r="O33" s="138"/>
      <c r="P33" s="138"/>
      <c r="Q33" s="138">
        <v>43750</v>
      </c>
      <c r="R33" s="138"/>
      <c r="S33" s="129"/>
      <c r="T33" s="129"/>
      <c r="U33" s="129">
        <f>SUM(Table_Query_from_MS_Access_Database_1[[#This Row],[HURF EX]:[STP OTHER]])</f>
        <v>43750</v>
      </c>
      <c r="V33" s="129">
        <f>V32-Table_Query_from_MS_Access_Database_1[TOTAL OF AMOUNT]</f>
        <v>141049.43999999994</v>
      </c>
    </row>
    <row r="34" spans="1:22" s="55" customFormat="1" x14ac:dyDescent="0.25">
      <c r="A34" s="151" t="s">
        <v>175</v>
      </c>
      <c r="B34" s="151" t="s">
        <v>156</v>
      </c>
      <c r="C34" s="151" t="s">
        <v>204</v>
      </c>
      <c r="D34" s="151" t="s">
        <v>7</v>
      </c>
      <c r="E34" s="152" t="s">
        <v>176</v>
      </c>
      <c r="F34" s="153" t="s">
        <v>161</v>
      </c>
      <c r="G34" s="154" t="s">
        <v>162</v>
      </c>
      <c r="H34" s="154" t="s">
        <v>177</v>
      </c>
      <c r="I34" s="154" t="str">
        <f>CONCATENATE(Table_Query_from_MS_Access_Database_1[RTE],Table_Query_from_MS_Access_Database_1[SEC],Table_Query_from_MS_Access_Database_1[SEQ])</f>
        <v>094ATBD</v>
      </c>
      <c r="J34" s="155">
        <v>43466</v>
      </c>
      <c r="K34" s="156"/>
      <c r="L34" s="156"/>
      <c r="M34" s="156"/>
      <c r="N34" s="150"/>
      <c r="O34" s="138"/>
      <c r="P34" s="138"/>
      <c r="Q34" s="138"/>
      <c r="R34" s="138"/>
      <c r="S34" s="129">
        <v>5000</v>
      </c>
      <c r="T34" s="129"/>
      <c r="U34" s="129">
        <f>SUM(Table_Query_from_MS_Access_Database_1[[#This Row],[HURF EX]:[STP OTHER]])</f>
        <v>5000</v>
      </c>
      <c r="V34" s="129">
        <f>V33-Table_Query_from_MS_Access_Database_1[TOTAL OF AMOUNT]</f>
        <v>136049.43999999994</v>
      </c>
    </row>
    <row r="35" spans="1:22" s="55" customFormat="1" x14ac:dyDescent="0.25">
      <c r="A35" s="176" t="s">
        <v>130</v>
      </c>
      <c r="B35" s="176" t="s">
        <v>221</v>
      </c>
      <c r="C35" s="176" t="s">
        <v>198</v>
      </c>
      <c r="D35" s="176" t="s">
        <v>9</v>
      </c>
      <c r="E35" s="177" t="s">
        <v>222</v>
      </c>
      <c r="F35" s="178" t="s">
        <v>200</v>
      </c>
      <c r="G35" s="179" t="s">
        <v>127</v>
      </c>
      <c r="H35" s="179" t="s">
        <v>223</v>
      </c>
      <c r="I35" s="179" t="str">
        <f>CONCATENATE(Table_Query_from_MS_Access_Database_1[RTE],Table_Query_from_MS_Access_Database_1[SEC],Table_Query_from_MS_Access_Database_1[SEQ])</f>
        <v>YYU0217</v>
      </c>
      <c r="J35" s="180"/>
      <c r="K35" s="181">
        <v>43556</v>
      </c>
      <c r="L35" s="181">
        <v>43556</v>
      </c>
      <c r="M35" s="181"/>
      <c r="N35" s="182"/>
      <c r="O35" s="183"/>
      <c r="P35" s="183"/>
      <c r="Q35" s="183"/>
      <c r="R35" s="183"/>
      <c r="S35" s="170">
        <v>-35394.03</v>
      </c>
      <c r="T35" s="170"/>
      <c r="U35" s="170">
        <f>SUM(Table_Query_from_MS_Access_Database_1[[#This Row],[HURF EX]:[STP OTHER]])</f>
        <v>-35394.03</v>
      </c>
      <c r="V35" s="129">
        <f>V34-Table_Query_from_MS_Access_Database_1[TOTAL OF AMOUNT]</f>
        <v>171443.46999999994</v>
      </c>
    </row>
    <row r="36" spans="1:22" s="58" customFormat="1" ht="13.5" x14ac:dyDescent="0.25">
      <c r="J36" s="63"/>
      <c r="K36" s="63"/>
      <c r="L36" s="63"/>
      <c r="M36" s="87" t="s">
        <v>86</v>
      </c>
      <c r="N36" s="141">
        <f>SUM(Table_Query_from_MS_Access_Database_1[[#All],[HURF EX]])</f>
        <v>0</v>
      </c>
      <c r="O36" s="141">
        <f>SUM(Table_Query_from_MS_Access_Database_1[[#All],[HSIP]])</f>
        <v>0</v>
      </c>
      <c r="P36" s="141">
        <f>SUM(Table_Query_from_MS_Access_Database_1[[#All],[PL]])</f>
        <v>1544</v>
      </c>
      <c r="Q36" s="141">
        <f>SUM(Table_Query_from_MS_Access_Database_1[[#All],[SPR]])</f>
        <v>43750</v>
      </c>
      <c r="R36" s="141">
        <f>SUM(Table_Query_from_MS_Access_Database_1[[#All],[STP &lt;5]])</f>
        <v>0</v>
      </c>
      <c r="S36" s="141">
        <f>SUM(Table_Query_from_MS_Access_Database_1[[#All],[STP 5-200]])</f>
        <v>-30394.03</v>
      </c>
      <c r="T36" s="141">
        <f>SUM(Table_Query_from_MS_Access_Database_1[[#All],[STP OTHER]])</f>
        <v>0</v>
      </c>
      <c r="U36" s="141">
        <f>SUM(Table_Query_from_MS_Access_Database_1[[#All],[TOTAL OF AMOUNT]])</f>
        <v>14899.970000000001</v>
      </c>
      <c r="V36" s="142"/>
    </row>
    <row r="37" spans="1:22" s="58" customFormat="1" ht="27" x14ac:dyDescent="0.25">
      <c r="J37" s="63"/>
      <c r="K37" s="63"/>
      <c r="L37" s="63"/>
      <c r="M37" s="88" t="s">
        <v>75</v>
      </c>
      <c r="N37" s="105">
        <f>+N28-N36</f>
        <v>0</v>
      </c>
      <c r="O37" s="105">
        <f>+O28-O36</f>
        <v>33916.310000000005</v>
      </c>
      <c r="P37" s="105">
        <f>+P28-P36</f>
        <v>0</v>
      </c>
      <c r="Q37" s="105">
        <f>+Q28-Q36</f>
        <v>0</v>
      </c>
      <c r="R37" s="105">
        <f>+R28-R36</f>
        <v>129.01000000000931</v>
      </c>
      <c r="S37" s="105">
        <f>+S28-S36</f>
        <v>217203.15</v>
      </c>
      <c r="T37" s="105">
        <f>+T28-T36</f>
        <v>0</v>
      </c>
      <c r="U37" s="105">
        <f>+U28-U36</f>
        <v>251248.46999999994</v>
      </c>
      <c r="V37" s="104"/>
    </row>
    <row r="38" spans="1:22" s="58" customFormat="1" x14ac:dyDescent="0.25">
      <c r="A38" s="55"/>
      <c r="B38" s="55"/>
      <c r="C38" s="55"/>
      <c r="D38" s="55"/>
      <c r="E38" s="55"/>
      <c r="F38" s="55"/>
      <c r="G38" s="55"/>
      <c r="H38" s="55"/>
      <c r="I38" s="55"/>
      <c r="J38" s="57"/>
      <c r="K38" s="57"/>
      <c r="L38" s="57"/>
      <c r="M38" s="57"/>
      <c r="N38" s="57">
        <f>N27+N36</f>
        <v>0</v>
      </c>
      <c r="O38" s="57">
        <f>O27+O36</f>
        <v>-33916.310000000005</v>
      </c>
      <c r="P38" s="57">
        <f>P27+P36</f>
        <v>309576</v>
      </c>
      <c r="Q38" s="57">
        <f>Q27+Q36</f>
        <v>175000</v>
      </c>
      <c r="R38" s="57">
        <f>R27+R36</f>
        <v>972413</v>
      </c>
      <c r="S38" s="57">
        <f>S27+S36</f>
        <v>-38245.15</v>
      </c>
      <c r="T38" s="57">
        <f>T27+T36</f>
        <v>0</v>
      </c>
      <c r="U38" s="57">
        <f>U27+U36</f>
        <v>1384827.54</v>
      </c>
    </row>
    <row r="39" spans="1:22" s="58" customFormat="1" x14ac:dyDescent="0.25">
      <c r="A39" s="55"/>
      <c r="B39" s="55"/>
      <c r="C39" s="55"/>
      <c r="D39" s="55"/>
      <c r="E39" s="55"/>
      <c r="F39" s="55"/>
      <c r="G39" s="55"/>
      <c r="H39" s="55"/>
      <c r="I39" s="55"/>
      <c r="J39" s="57"/>
      <c r="K39" s="57"/>
      <c r="L39" s="57"/>
      <c r="M39" s="57"/>
      <c r="N39" s="57"/>
      <c r="O39" s="57"/>
      <c r="P39" s="57"/>
      <c r="Q39" s="57"/>
      <c r="R39" s="55"/>
      <c r="S39" s="55"/>
      <c r="T39" s="63"/>
      <c r="U39" s="99"/>
    </row>
    <row r="40" spans="1:22" s="55" customFormat="1" ht="17.25" x14ac:dyDescent="0.25">
      <c r="A40" s="64" t="s">
        <v>77</v>
      </c>
      <c r="E40" s="55" t="s">
        <v>220</v>
      </c>
      <c r="J40" s="57"/>
      <c r="K40" s="57"/>
      <c r="L40" s="57"/>
      <c r="M40" s="57"/>
      <c r="N40" s="184" t="s">
        <v>59</v>
      </c>
      <c r="O40" s="184"/>
      <c r="P40" s="184"/>
      <c r="Q40" s="184"/>
      <c r="R40" s="59"/>
      <c r="T40" s="63"/>
      <c r="U40" s="58"/>
      <c r="V40" s="58"/>
    </row>
    <row r="41" spans="1:22" s="55" customFormat="1" x14ac:dyDescent="0.25">
      <c r="A41" s="58"/>
      <c r="B41" s="58"/>
      <c r="C41" s="58"/>
      <c r="D41" s="58"/>
      <c r="E41" s="58"/>
      <c r="F41" s="58"/>
      <c r="G41" s="58"/>
      <c r="H41" s="58"/>
      <c r="I41" s="58"/>
      <c r="J41" s="63"/>
      <c r="K41" s="63"/>
      <c r="L41" s="63"/>
      <c r="M41" s="106"/>
      <c r="N41" s="107" t="s">
        <v>152</v>
      </c>
      <c r="O41" s="107" t="s">
        <v>4</v>
      </c>
      <c r="P41" s="107" t="s">
        <v>42</v>
      </c>
      <c r="Q41" s="107" t="s">
        <v>5</v>
      </c>
      <c r="R41" s="107" t="s">
        <v>131</v>
      </c>
      <c r="S41" s="107" t="s">
        <v>143</v>
      </c>
      <c r="T41" s="107" t="s">
        <v>53</v>
      </c>
      <c r="U41" s="107" t="s">
        <v>55</v>
      </c>
      <c r="V41" s="108" t="s">
        <v>60</v>
      </c>
    </row>
    <row r="42" spans="1:22" s="58" customFormat="1" ht="13.5" x14ac:dyDescent="0.25">
      <c r="J42" s="63"/>
      <c r="K42" s="63"/>
      <c r="L42" s="63"/>
      <c r="M42" s="102" t="s">
        <v>184</v>
      </c>
      <c r="N42" s="105">
        <f>+N37</f>
        <v>0</v>
      </c>
      <c r="O42" s="105">
        <f t="shared" ref="O42:S42" si="5">+O37</f>
        <v>33916.310000000005</v>
      </c>
      <c r="P42" s="105">
        <f t="shared" si="5"/>
        <v>0</v>
      </c>
      <c r="Q42" s="105">
        <f t="shared" si="5"/>
        <v>0</v>
      </c>
      <c r="R42" s="105">
        <f t="shared" si="5"/>
        <v>129.01000000000931</v>
      </c>
      <c r="S42" s="105">
        <f t="shared" si="5"/>
        <v>217203.15</v>
      </c>
      <c r="T42" s="105">
        <f t="shared" ref="T42" si="6">+T37</f>
        <v>0</v>
      </c>
      <c r="U42" s="105">
        <f>SUM(N42:T42)</f>
        <v>251248.47</v>
      </c>
      <c r="V42" s="105">
        <f>V35</f>
        <v>171443.46999999994</v>
      </c>
    </row>
    <row r="43" spans="1:22" s="58" customFormat="1" ht="13.5" x14ac:dyDescent="0.25">
      <c r="J43" s="63"/>
      <c r="K43" s="63"/>
      <c r="L43" s="63"/>
      <c r="M43" s="102" t="s">
        <v>185</v>
      </c>
      <c r="N43" s="143">
        <v>0</v>
      </c>
      <c r="O43" s="143">
        <v>0</v>
      </c>
      <c r="P43" s="143">
        <v>0</v>
      </c>
      <c r="Q43" s="143">
        <v>0</v>
      </c>
      <c r="R43" s="143">
        <v>0</v>
      </c>
      <c r="S43" s="143">
        <v>0</v>
      </c>
      <c r="T43" s="143">
        <v>0</v>
      </c>
      <c r="U43" s="143">
        <f>SUM(N43:T43)</f>
        <v>0</v>
      </c>
      <c r="V43" s="143">
        <f>SUMIFS(Table_Query_from_MS_Access_Database_16[[#All],[To]],Table_Query_from_MS_Access_Database_16[[#All],[Transaction Year]],"2019",Table_Query_from_MS_Access_Database_16[[#All],[Transaction Type]],"Lapsing")</f>
        <v>0</v>
      </c>
    </row>
    <row r="44" spans="1:22" s="58" customFormat="1" ht="13.5" x14ac:dyDescent="0.25">
      <c r="J44" s="63"/>
      <c r="K44" s="63"/>
      <c r="L44" s="63"/>
      <c r="M44" s="102" t="s">
        <v>186</v>
      </c>
      <c r="N44" s="144">
        <f t="shared" ref="N44" si="7">SUM(N42:N43)</f>
        <v>0</v>
      </c>
      <c r="O44" s="144">
        <f t="shared" ref="O44:S44" si="8">SUM(O42:O43)</f>
        <v>33916.310000000005</v>
      </c>
      <c r="P44" s="144">
        <f t="shared" si="8"/>
        <v>0</v>
      </c>
      <c r="Q44" s="144">
        <f t="shared" si="8"/>
        <v>0</v>
      </c>
      <c r="R44" s="144">
        <f t="shared" si="8"/>
        <v>129.01000000000931</v>
      </c>
      <c r="S44" s="144">
        <f t="shared" si="8"/>
        <v>217203.15</v>
      </c>
      <c r="T44" s="144">
        <f t="shared" ref="T44" si="9">SUM(T42:T43)</f>
        <v>0</v>
      </c>
      <c r="U44" s="144">
        <f>SUM(N44:T44)</f>
        <v>251248.47</v>
      </c>
      <c r="V44" s="144">
        <f>SUM(V42:V43)</f>
        <v>171443.46999999994</v>
      </c>
    </row>
    <row r="45" spans="1:22" s="58" customFormat="1" ht="13.5" x14ac:dyDescent="0.25">
      <c r="J45" s="63"/>
      <c r="K45" s="63"/>
      <c r="L45" s="63"/>
      <c r="M45" s="103" t="s">
        <v>187</v>
      </c>
      <c r="N45" s="143">
        <f>+N42-N37</f>
        <v>0</v>
      </c>
      <c r="O45" s="143">
        <f t="shared" ref="O45:S45" si="10">+O42-O37</f>
        <v>0</v>
      </c>
      <c r="P45" s="143">
        <f t="shared" si="10"/>
        <v>0</v>
      </c>
      <c r="Q45" s="143">
        <f t="shared" si="10"/>
        <v>0</v>
      </c>
      <c r="R45" s="143">
        <f t="shared" si="10"/>
        <v>0</v>
      </c>
      <c r="S45" s="143">
        <f t="shared" si="10"/>
        <v>0</v>
      </c>
      <c r="T45" s="143">
        <f t="shared" ref="T45" si="11">+T42-T37</f>
        <v>0</v>
      </c>
      <c r="U45" s="143">
        <v>0</v>
      </c>
      <c r="V45" s="143">
        <v>0</v>
      </c>
    </row>
    <row r="46" spans="1:22" s="58" customFormat="1" x14ac:dyDescent="0.25">
      <c r="A46" s="55"/>
      <c r="B46" s="55"/>
      <c r="C46" s="55"/>
      <c r="D46" s="55"/>
      <c r="E46" s="55"/>
      <c r="F46" s="55"/>
      <c r="G46" s="55"/>
      <c r="H46" s="55"/>
      <c r="I46" s="55"/>
      <c r="J46" s="57"/>
      <c r="K46" s="57"/>
      <c r="L46" s="57"/>
      <c r="M46" s="57"/>
      <c r="N46" s="57"/>
      <c r="O46" s="57"/>
      <c r="P46" s="57"/>
      <c r="Q46" s="57"/>
      <c r="R46" s="55"/>
      <c r="S46" s="55"/>
    </row>
    <row r="47" spans="1:22" s="55" customFormat="1" x14ac:dyDescent="0.25">
      <c r="A47" s="33"/>
      <c r="B47" s="33"/>
      <c r="C47" s="33"/>
      <c r="D47" s="33"/>
      <c r="E47" s="33"/>
      <c r="F47" s="33"/>
      <c r="G47" s="33"/>
      <c r="H47" s="33"/>
      <c r="I47" s="33"/>
      <c r="J47" s="33"/>
      <c r="K47" s="33"/>
      <c r="L47" s="33"/>
      <c r="M47" s="33"/>
      <c r="N47" s="36"/>
      <c r="O47" s="36"/>
      <c r="P47" s="36"/>
      <c r="Q47" s="36"/>
      <c r="R47" s="36"/>
      <c r="S47" s="36"/>
      <c r="T47" s="36"/>
      <c r="U47" s="33"/>
      <c r="V47" s="33"/>
    </row>
  </sheetData>
  <sheetProtection autoFilter="0"/>
  <mergeCells count="10">
    <mergeCell ref="N40:Q40"/>
    <mergeCell ref="A1:F1"/>
    <mergeCell ref="A14:D14"/>
    <mergeCell ref="A9:L9"/>
    <mergeCell ref="A3:D3"/>
    <mergeCell ref="A4:D4"/>
    <mergeCell ref="J14:M14"/>
    <mergeCell ref="A30:D30"/>
    <mergeCell ref="N2:U2"/>
    <mergeCell ref="N1:U1"/>
  </mergeCells>
  <pageMargins left="0.5" right="0.25" top="0.75" bottom="0.5" header="0.3" footer="0.3"/>
  <pageSetup paperSize="17" scale="68"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9"/>
  <sheetViews>
    <sheetView zoomScaleNormal="100" workbookViewId="0">
      <selection activeCell="G42" sqref="G42"/>
    </sheetView>
  </sheetViews>
  <sheetFormatPr defaultColWidth="19.7109375" defaultRowHeight="15" x14ac:dyDescent="0.25"/>
  <cols>
    <col min="1" max="1" width="19.5703125" style="25" customWidth="1"/>
    <col min="2" max="2" width="19.85546875" style="25" customWidth="1"/>
    <col min="3" max="3" width="18.7109375" style="25" customWidth="1"/>
    <col min="4" max="4" width="9.28515625" style="25" customWidth="1"/>
    <col min="5" max="5" width="9.140625" style="25" customWidth="1"/>
    <col min="6" max="6" width="19.5703125" style="25" customWidth="1"/>
    <col min="7" max="7" width="16.7109375" style="25" customWidth="1"/>
    <col min="8" max="8" width="49.5703125" style="26" customWidth="1"/>
    <col min="9" max="9" width="14.140625" style="25" customWidth="1"/>
    <col min="10" max="10" width="20" style="25" customWidth="1"/>
    <col min="11" max="11" width="12.42578125" style="25" customWidth="1"/>
    <col min="12" max="12" width="9.42578125" style="25" customWidth="1"/>
    <col min="13" max="13" width="10.42578125" style="25" customWidth="1"/>
    <col min="14" max="14" width="10.7109375" style="25" customWidth="1"/>
    <col min="15" max="15" width="12.42578125" style="25" customWidth="1"/>
    <col min="16"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9.7109375" style="25" customWidth="1"/>
    <col min="27" max="27" width="10.140625" style="25" customWidth="1"/>
    <col min="28" max="28" width="11.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96" t="str">
        <f>+'Federal Funds Transactions'!A1:F1</f>
        <v>Yuma Metropolitan Planning Organization</v>
      </c>
      <c r="B1" s="196"/>
      <c r="C1" s="196"/>
      <c r="D1" s="196"/>
      <c r="E1" s="196"/>
      <c r="F1" s="196"/>
    </row>
    <row r="2" spans="1:42" ht="14.45" x14ac:dyDescent="0.3">
      <c r="A2" s="27"/>
      <c r="B2" s="27"/>
      <c r="C2" s="27"/>
      <c r="D2" s="27"/>
      <c r="E2" s="27"/>
      <c r="F2" s="27"/>
    </row>
    <row r="3" spans="1:42" ht="14.45" x14ac:dyDescent="0.3">
      <c r="A3" s="197" t="s">
        <v>83</v>
      </c>
      <c r="B3" s="197"/>
      <c r="C3" s="197"/>
      <c r="D3" s="197"/>
      <c r="E3" s="197"/>
      <c r="F3" s="197"/>
    </row>
    <row r="4" spans="1:42" ht="14.45" x14ac:dyDescent="0.3">
      <c r="A4" s="28"/>
      <c r="B4" s="28"/>
      <c r="C4" s="28"/>
      <c r="D4" s="28"/>
      <c r="E4" s="28"/>
      <c r="F4" s="28"/>
    </row>
    <row r="5" spans="1:42" ht="14.45" x14ac:dyDescent="0.3">
      <c r="A5" s="25" t="s">
        <v>82</v>
      </c>
      <c r="B5" s="71">
        <f>+'Federal Funds Transactions'!C5</f>
        <v>43555</v>
      </c>
      <c r="C5" s="27"/>
      <c r="D5" s="27"/>
      <c r="E5" s="27"/>
      <c r="F5" s="27"/>
    </row>
    <row r="6" spans="1:42" ht="14.45" x14ac:dyDescent="0.3">
      <c r="A6" s="27"/>
      <c r="B6" s="27"/>
      <c r="C6" s="27"/>
      <c r="D6" s="27"/>
      <c r="E6" s="27"/>
      <c r="F6" s="27"/>
    </row>
    <row r="7" spans="1:42" ht="15" customHeight="1" x14ac:dyDescent="0.3">
      <c r="A7" s="200" t="str">
        <f>+'Federal Funds Transactions'!A9:L9</f>
        <v>IMPORTANT! Please review the information in the Notes tab for further explanation of the data in this document.</v>
      </c>
      <c r="B7" s="200"/>
      <c r="C7" s="200"/>
      <c r="D7" s="200"/>
      <c r="E7" s="200"/>
      <c r="F7" s="200"/>
      <c r="G7" s="200"/>
      <c r="H7" s="200"/>
    </row>
    <row r="9" spans="1:42" ht="15.75" customHeight="1" x14ac:dyDescent="0.3">
      <c r="A9" s="198" t="s">
        <v>79</v>
      </c>
      <c r="B9" s="198"/>
      <c r="C9" s="198"/>
      <c r="D9" s="198"/>
      <c r="E9" s="198"/>
      <c r="F9" s="198"/>
      <c r="G9" s="198"/>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8" t="s">
        <v>43</v>
      </c>
      <c r="B11" s="79" t="s">
        <v>44</v>
      </c>
      <c r="C11" s="79" t="s">
        <v>13</v>
      </c>
      <c r="D11" s="79" t="s">
        <v>88</v>
      </c>
      <c r="E11" s="79" t="s">
        <v>89</v>
      </c>
      <c r="F11" s="79" t="s">
        <v>45</v>
      </c>
      <c r="G11" s="79" t="s">
        <v>90</v>
      </c>
      <c r="H11" s="79" t="s">
        <v>91</v>
      </c>
      <c r="I11" s="79" t="s">
        <v>10</v>
      </c>
      <c r="J11" s="79" t="s">
        <v>153</v>
      </c>
      <c r="K11" s="79" t="s">
        <v>4</v>
      </c>
      <c r="L11" s="79" t="s">
        <v>147</v>
      </c>
      <c r="M11" s="79" t="s">
        <v>5</v>
      </c>
      <c r="N11" s="79" t="s">
        <v>131</v>
      </c>
      <c r="O11" s="79" t="s">
        <v>143</v>
      </c>
      <c r="P11" s="79" t="s">
        <v>148</v>
      </c>
      <c r="Q11" s="79" t="s">
        <v>149</v>
      </c>
      <c r="R11" s="79" t="s">
        <v>150</v>
      </c>
      <c r="S11" s="79" t="s">
        <v>154</v>
      </c>
      <c r="T11" s="79" t="s">
        <v>151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7" t="s">
        <v>101</v>
      </c>
      <c r="B12" s="65" t="s">
        <v>118</v>
      </c>
      <c r="C12" s="65" t="s">
        <v>119</v>
      </c>
      <c r="D12" s="65" t="s">
        <v>94</v>
      </c>
      <c r="E12" s="65" t="s">
        <v>100</v>
      </c>
      <c r="F12" s="65" t="s">
        <v>120</v>
      </c>
      <c r="G12" s="65"/>
      <c r="H12" s="65" t="s">
        <v>121</v>
      </c>
      <c r="I12" s="65">
        <v>-220124.9</v>
      </c>
      <c r="J12" s="65"/>
      <c r="K12" s="65">
        <v>-122075</v>
      </c>
      <c r="L12" s="66">
        <v>-1</v>
      </c>
      <c r="M12" s="66">
        <v>-7875</v>
      </c>
      <c r="N12" s="76"/>
      <c r="O12" s="76"/>
      <c r="P12" s="76">
        <v>-90173.9</v>
      </c>
      <c r="Q12" s="76"/>
      <c r="R12" s="76"/>
      <c r="S12" s="76"/>
      <c r="T12" s="31"/>
      <c r="U12" s="76"/>
      <c r="V12" s="76"/>
      <c r="W12" s="76"/>
      <c r="X12" s="76"/>
      <c r="Y12" s="76"/>
      <c r="Z12" s="76"/>
      <c r="AA12" s="76"/>
      <c r="AB12" s="76"/>
      <c r="AC12" s="76"/>
      <c r="AD12" s="9"/>
      <c r="AE12" s="9"/>
      <c r="AF12" s="9"/>
      <c r="AG12" s="9"/>
      <c r="AH12" s="9"/>
      <c r="AI12" s="9"/>
      <c r="AJ12" s="9"/>
      <c r="AK12" s="9"/>
      <c r="AL12" s="9"/>
      <c r="AM12" s="9"/>
      <c r="AN12" s="9"/>
      <c r="AO12" s="9"/>
      <c r="AP12" s="9"/>
    </row>
    <row r="13" spans="1:42" x14ac:dyDescent="0.25">
      <c r="A13" s="68" t="s">
        <v>101</v>
      </c>
      <c r="B13" s="66" t="s">
        <v>96</v>
      </c>
      <c r="C13" s="66" t="s">
        <v>102</v>
      </c>
      <c r="D13" s="66" t="s">
        <v>103</v>
      </c>
      <c r="E13" s="66" t="s">
        <v>94</v>
      </c>
      <c r="F13" s="66" t="s">
        <v>104</v>
      </c>
      <c r="G13" s="66"/>
      <c r="H13" s="66" t="s">
        <v>105</v>
      </c>
      <c r="I13" s="66">
        <v>185000</v>
      </c>
      <c r="J13" s="66"/>
      <c r="K13" s="66"/>
      <c r="L13" s="66"/>
      <c r="M13" s="66"/>
      <c r="N13" s="76"/>
      <c r="O13" s="76"/>
      <c r="P13" s="76">
        <v>185000</v>
      </c>
      <c r="Q13" s="76"/>
      <c r="R13" s="76"/>
      <c r="S13" s="76"/>
      <c r="T13" s="31"/>
      <c r="U13" s="76"/>
      <c r="V13" s="76"/>
      <c r="W13" s="76"/>
      <c r="X13" s="76"/>
      <c r="Y13" s="76"/>
      <c r="Z13" s="76"/>
      <c r="AA13" s="76"/>
      <c r="AB13" s="76"/>
      <c r="AC13" s="76"/>
      <c r="AD13" s="9"/>
      <c r="AE13" s="9"/>
      <c r="AF13" s="9"/>
      <c r="AG13" s="9"/>
      <c r="AH13" s="9"/>
      <c r="AI13" s="9"/>
      <c r="AJ13" s="9"/>
      <c r="AK13" s="9"/>
      <c r="AL13" s="9"/>
      <c r="AM13" s="9"/>
      <c r="AN13" s="9"/>
      <c r="AO13" s="9"/>
      <c r="AP13" s="9"/>
    </row>
    <row r="14" spans="1:42" x14ac:dyDescent="0.25">
      <c r="A14" s="68" t="s">
        <v>101</v>
      </c>
      <c r="B14" s="66" t="s">
        <v>96</v>
      </c>
      <c r="C14" s="66" t="s">
        <v>112</v>
      </c>
      <c r="D14" s="66" t="s">
        <v>100</v>
      </c>
      <c r="E14" s="66" t="s">
        <v>94</v>
      </c>
      <c r="F14" s="66" t="s">
        <v>116</v>
      </c>
      <c r="G14" s="66"/>
      <c r="H14" s="66" t="s">
        <v>113</v>
      </c>
      <c r="I14" s="66">
        <v>344267</v>
      </c>
      <c r="J14" s="66"/>
      <c r="K14" s="66"/>
      <c r="L14" s="66"/>
      <c r="M14" s="66"/>
      <c r="N14" s="76"/>
      <c r="O14" s="76"/>
      <c r="P14" s="76">
        <v>344267</v>
      </c>
      <c r="Q14" s="76"/>
      <c r="R14" s="76"/>
      <c r="S14" s="76"/>
      <c r="T14" s="31"/>
      <c r="U14" s="76"/>
      <c r="V14" s="76"/>
      <c r="W14" s="76"/>
      <c r="X14" s="76"/>
      <c r="Y14" s="76"/>
      <c r="Z14" s="76"/>
      <c r="AA14" s="76"/>
      <c r="AB14" s="76"/>
      <c r="AC14" s="76"/>
      <c r="AD14" s="9"/>
      <c r="AE14" s="9"/>
      <c r="AF14" s="9"/>
      <c r="AG14" s="9"/>
      <c r="AH14" s="9"/>
      <c r="AI14" s="9"/>
      <c r="AJ14" s="9"/>
      <c r="AK14" s="9"/>
      <c r="AL14" s="9"/>
      <c r="AM14" s="9"/>
      <c r="AN14" s="9"/>
      <c r="AO14" s="9"/>
      <c r="AP14" s="9"/>
    </row>
    <row r="15" spans="1:42" x14ac:dyDescent="0.25">
      <c r="A15" s="68" t="s">
        <v>101</v>
      </c>
      <c r="B15" s="66" t="s">
        <v>97</v>
      </c>
      <c r="C15" s="66" t="s">
        <v>107</v>
      </c>
      <c r="D15" s="66" t="s">
        <v>94</v>
      </c>
      <c r="E15" s="66" t="s">
        <v>108</v>
      </c>
      <c r="F15" s="66" t="s">
        <v>109</v>
      </c>
      <c r="G15" s="66"/>
      <c r="H15" s="66" t="s">
        <v>110</v>
      </c>
      <c r="I15" s="66">
        <v>-193259</v>
      </c>
      <c r="J15" s="66"/>
      <c r="K15" s="66">
        <v>-193259</v>
      </c>
      <c r="L15" s="66"/>
      <c r="M15" s="66"/>
      <c r="N15" s="76"/>
      <c r="O15" s="76"/>
      <c r="P15" s="76"/>
      <c r="Q15" s="76"/>
      <c r="R15" s="76"/>
      <c r="S15" s="76"/>
      <c r="T15" s="31"/>
      <c r="U15" s="76"/>
      <c r="V15" s="76"/>
      <c r="W15" s="76"/>
      <c r="X15" s="76"/>
      <c r="Y15" s="76"/>
      <c r="Z15" s="76"/>
      <c r="AA15" s="76"/>
      <c r="AB15" s="76"/>
      <c r="AC15" s="76"/>
      <c r="AD15" s="9"/>
      <c r="AE15" s="9"/>
      <c r="AF15" s="9"/>
      <c r="AG15" s="9"/>
      <c r="AH15" s="9"/>
      <c r="AI15" s="9"/>
      <c r="AJ15" s="9"/>
      <c r="AK15" s="9"/>
      <c r="AL15" s="9"/>
      <c r="AM15" s="9"/>
      <c r="AN15" s="9"/>
      <c r="AO15" s="9"/>
      <c r="AP15" s="9"/>
    </row>
    <row r="16" spans="1:42" x14ac:dyDescent="0.25">
      <c r="A16" s="68" t="s">
        <v>114</v>
      </c>
      <c r="B16" s="66" t="s">
        <v>97</v>
      </c>
      <c r="C16" s="66" t="s">
        <v>125</v>
      </c>
      <c r="D16" s="66" t="s">
        <v>94</v>
      </c>
      <c r="E16" s="66" t="s">
        <v>100</v>
      </c>
      <c r="F16" s="66" t="s">
        <v>109</v>
      </c>
      <c r="G16" s="66"/>
      <c r="H16" s="66" t="s">
        <v>126</v>
      </c>
      <c r="I16" s="66">
        <v>-246348.83</v>
      </c>
      <c r="J16" s="66"/>
      <c r="K16" s="66"/>
      <c r="L16" s="66"/>
      <c r="M16" s="66"/>
      <c r="N16" s="76"/>
      <c r="O16" s="76"/>
      <c r="P16" s="76">
        <v>-246348.83</v>
      </c>
      <c r="Q16" s="76"/>
      <c r="R16" s="76"/>
      <c r="S16" s="76"/>
      <c r="T16" s="31"/>
      <c r="U16" s="76"/>
      <c r="V16" s="76"/>
      <c r="W16" s="76"/>
      <c r="X16" s="76"/>
      <c r="Y16" s="76"/>
      <c r="Z16" s="76"/>
      <c r="AA16" s="76"/>
      <c r="AB16" s="76"/>
      <c r="AC16" s="76"/>
      <c r="AD16" s="9"/>
      <c r="AE16" s="9"/>
      <c r="AF16" s="9"/>
      <c r="AG16" s="9"/>
      <c r="AH16" s="9"/>
      <c r="AI16" s="9"/>
      <c r="AJ16" s="9"/>
      <c r="AK16" s="9"/>
      <c r="AL16" s="9"/>
      <c r="AM16" s="9"/>
      <c r="AN16" s="9"/>
      <c r="AO16" s="9"/>
      <c r="AP16" s="9"/>
    </row>
    <row r="17" spans="1:42" x14ac:dyDescent="0.25">
      <c r="A17" s="69" t="s">
        <v>114</v>
      </c>
      <c r="B17" s="70" t="s">
        <v>99</v>
      </c>
      <c r="C17" s="70" t="s">
        <v>112</v>
      </c>
      <c r="D17" s="70" t="s">
        <v>94</v>
      </c>
      <c r="E17" s="70" t="s">
        <v>100</v>
      </c>
      <c r="F17" s="70"/>
      <c r="G17" s="70"/>
      <c r="H17" s="70" t="s">
        <v>115</v>
      </c>
      <c r="I17" s="70">
        <v>-344267</v>
      </c>
      <c r="J17" s="70"/>
      <c r="K17" s="70"/>
      <c r="L17" s="70"/>
      <c r="M17" s="70"/>
      <c r="N17" s="76"/>
      <c r="O17" s="76"/>
      <c r="P17" s="76">
        <v>-344267</v>
      </c>
      <c r="Q17" s="76"/>
      <c r="R17" s="76"/>
      <c r="S17" s="76"/>
      <c r="T17" s="31"/>
      <c r="U17" s="76"/>
      <c r="V17" s="76"/>
      <c r="W17" s="76"/>
      <c r="X17" s="76"/>
      <c r="Y17" s="76"/>
      <c r="Z17" s="76"/>
      <c r="AA17" s="76"/>
      <c r="AB17" s="76"/>
      <c r="AC17" s="76"/>
      <c r="AD17" s="9"/>
      <c r="AE17" s="9"/>
      <c r="AF17" s="9"/>
      <c r="AG17" s="9"/>
      <c r="AH17" s="9"/>
      <c r="AI17" s="9"/>
      <c r="AJ17" s="9"/>
      <c r="AK17" s="9"/>
      <c r="AL17" s="9"/>
      <c r="AM17" s="9"/>
      <c r="AN17" s="9"/>
      <c r="AO17" s="9"/>
      <c r="AP17" s="9"/>
    </row>
    <row r="18" spans="1:42" x14ac:dyDescent="0.25">
      <c r="A18" s="97" t="s">
        <v>109</v>
      </c>
      <c r="B18" s="98" t="s">
        <v>96</v>
      </c>
      <c r="C18" s="98" t="s">
        <v>122</v>
      </c>
      <c r="D18" s="98" t="s">
        <v>108</v>
      </c>
      <c r="E18" s="98" t="s">
        <v>94</v>
      </c>
      <c r="F18" s="98" t="s">
        <v>123</v>
      </c>
      <c r="G18" s="98"/>
      <c r="H18" s="98" t="s">
        <v>124</v>
      </c>
      <c r="I18" s="98">
        <v>105000</v>
      </c>
      <c r="J18" s="98"/>
      <c r="K18" s="98">
        <v>105000</v>
      </c>
      <c r="L18" s="98"/>
      <c r="M18" s="98"/>
      <c r="N18" s="130"/>
      <c r="O18" s="130"/>
      <c r="P18" s="130"/>
      <c r="Q18" s="130"/>
      <c r="R18" s="130"/>
      <c r="S18" s="130"/>
      <c r="T18" s="31"/>
      <c r="U18" s="130"/>
      <c r="V18" s="130"/>
      <c r="W18" s="130"/>
      <c r="X18" s="130"/>
      <c r="Y18" s="130"/>
      <c r="Z18" s="76"/>
      <c r="AA18" s="76"/>
      <c r="AB18" s="76"/>
      <c r="AC18" s="76"/>
      <c r="AD18" s="9"/>
      <c r="AE18" s="9"/>
      <c r="AF18" s="9"/>
      <c r="AG18" s="9"/>
      <c r="AH18" s="9"/>
      <c r="AI18" s="9"/>
      <c r="AJ18" s="9"/>
      <c r="AK18" s="9"/>
      <c r="AL18" s="9"/>
      <c r="AM18" s="9"/>
      <c r="AN18" s="9"/>
      <c r="AO18" s="9"/>
      <c r="AP18" s="9"/>
    </row>
    <row r="19" spans="1:42" x14ac:dyDescent="0.25">
      <c r="A19" s="110" t="s">
        <v>109</v>
      </c>
      <c r="B19" s="112" t="s">
        <v>98</v>
      </c>
      <c r="C19" s="112" t="s">
        <v>107</v>
      </c>
      <c r="D19" s="112" t="s">
        <v>108</v>
      </c>
      <c r="E19" s="112" t="s">
        <v>94</v>
      </c>
      <c r="F19" s="112" t="s">
        <v>109</v>
      </c>
      <c r="G19" s="112"/>
      <c r="H19" s="112" t="s">
        <v>111</v>
      </c>
      <c r="I19" s="112">
        <v>193259</v>
      </c>
      <c r="J19" s="112"/>
      <c r="K19" s="112">
        <v>193259</v>
      </c>
      <c r="L19" s="112"/>
      <c r="M19" s="112"/>
      <c r="N19" s="131"/>
      <c r="O19" s="131"/>
      <c r="P19" s="131"/>
      <c r="Q19" s="131"/>
      <c r="R19" s="131"/>
      <c r="S19" s="131"/>
      <c r="T19" s="31"/>
      <c r="U19" s="131"/>
      <c r="V19" s="131"/>
      <c r="W19" s="131"/>
      <c r="X19" s="131"/>
      <c r="Y19" s="131"/>
      <c r="Z19" s="76"/>
      <c r="AA19" s="76"/>
      <c r="AB19" s="76"/>
      <c r="AC19" s="76"/>
      <c r="AH19" s="9"/>
      <c r="AI19" s="9"/>
      <c r="AJ19" s="9"/>
      <c r="AK19" s="9"/>
      <c r="AL19" s="9"/>
      <c r="AM19" s="9"/>
      <c r="AN19" s="9"/>
      <c r="AO19" s="9"/>
      <c r="AP19" s="9"/>
    </row>
    <row r="20" spans="1:42" x14ac:dyDescent="0.25">
      <c r="A20" s="111" t="s">
        <v>109</v>
      </c>
      <c r="B20" s="113" t="s">
        <v>98</v>
      </c>
      <c r="C20" s="113" t="s">
        <v>125</v>
      </c>
      <c r="D20" s="113" t="s">
        <v>100</v>
      </c>
      <c r="E20" s="113" t="s">
        <v>94</v>
      </c>
      <c r="F20" s="113" t="s">
        <v>109</v>
      </c>
      <c r="G20" s="113"/>
      <c r="H20" s="113" t="s">
        <v>126</v>
      </c>
      <c r="I20" s="113">
        <v>246348.83</v>
      </c>
      <c r="J20" s="113"/>
      <c r="K20" s="113"/>
      <c r="L20" s="113"/>
      <c r="M20" s="113"/>
      <c r="N20" s="131"/>
      <c r="O20" s="131"/>
      <c r="P20" s="131">
        <v>246348.83</v>
      </c>
      <c r="Q20" s="131"/>
      <c r="R20" s="131"/>
      <c r="S20" s="131"/>
      <c r="T20" s="31"/>
      <c r="U20" s="131"/>
      <c r="V20" s="131"/>
      <c r="W20" s="131"/>
      <c r="X20" s="131"/>
      <c r="Y20" s="131"/>
      <c r="Z20" s="76"/>
      <c r="AA20" s="76"/>
      <c r="AB20" s="76"/>
      <c r="AC20" s="76"/>
      <c r="AD20" s="77"/>
      <c r="AE20" s="77"/>
      <c r="AF20" s="77"/>
      <c r="AG20" s="77"/>
      <c r="AH20" s="9"/>
      <c r="AI20" s="9"/>
      <c r="AJ20" s="9"/>
      <c r="AK20" s="9"/>
      <c r="AL20" s="9"/>
      <c r="AM20" s="9"/>
      <c r="AN20" s="9"/>
      <c r="AO20" s="9"/>
      <c r="AP20" s="9"/>
    </row>
    <row r="21" spans="1:42" x14ac:dyDescent="0.25">
      <c r="A21" s="115" t="s">
        <v>123</v>
      </c>
      <c r="B21" s="116" t="s">
        <v>97</v>
      </c>
      <c r="C21" s="116" t="s">
        <v>128</v>
      </c>
      <c r="D21" s="116" t="s">
        <v>94</v>
      </c>
      <c r="E21" s="116" t="s">
        <v>100</v>
      </c>
      <c r="F21" s="116" t="s">
        <v>129</v>
      </c>
      <c r="G21" s="116" t="s">
        <v>130</v>
      </c>
      <c r="H21" s="116" t="s">
        <v>126</v>
      </c>
      <c r="I21" s="116">
        <v>-1101739</v>
      </c>
      <c r="J21" s="116"/>
      <c r="K21" s="116"/>
      <c r="L21" s="116"/>
      <c r="M21" s="116"/>
      <c r="N21" s="132"/>
      <c r="O21" s="132"/>
      <c r="P21" s="132">
        <v>-1101739</v>
      </c>
      <c r="Q21" s="132"/>
      <c r="R21" s="132"/>
      <c r="S21" s="132"/>
      <c r="T21" s="31"/>
      <c r="U21" s="132"/>
      <c r="V21" s="132"/>
      <c r="W21" s="132"/>
      <c r="X21" s="132"/>
      <c r="Y21" s="132"/>
      <c r="Z21" s="76"/>
      <c r="AA21" s="76"/>
      <c r="AB21" s="76"/>
      <c r="AC21" s="76"/>
      <c r="AH21" s="9"/>
      <c r="AI21" s="9"/>
      <c r="AJ21" s="9"/>
      <c r="AK21" s="9"/>
      <c r="AL21" s="9"/>
      <c r="AM21" s="9"/>
      <c r="AN21" s="9"/>
      <c r="AO21" s="9"/>
      <c r="AP21" s="9"/>
    </row>
    <row r="22" spans="1:42" x14ac:dyDescent="0.25">
      <c r="A22" s="117" t="s">
        <v>123</v>
      </c>
      <c r="B22" s="118" t="s">
        <v>99</v>
      </c>
      <c r="C22" s="118" t="s">
        <v>122</v>
      </c>
      <c r="D22" s="118" t="s">
        <v>94</v>
      </c>
      <c r="E22" s="118" t="s">
        <v>108</v>
      </c>
      <c r="F22" s="118" t="s">
        <v>123</v>
      </c>
      <c r="G22" s="118"/>
      <c r="H22" s="118" t="s">
        <v>124</v>
      </c>
      <c r="I22" s="118">
        <v>-105000</v>
      </c>
      <c r="J22" s="118"/>
      <c r="K22" s="118">
        <v>-105000</v>
      </c>
      <c r="L22" s="118"/>
      <c r="M22" s="118"/>
      <c r="N22" s="132"/>
      <c r="O22" s="132"/>
      <c r="P22" s="132"/>
      <c r="Q22" s="132"/>
      <c r="R22" s="132"/>
      <c r="S22" s="132"/>
      <c r="T22" s="31"/>
      <c r="U22" s="132"/>
      <c r="V22" s="132"/>
      <c r="W22" s="132"/>
      <c r="X22" s="132"/>
      <c r="Y22" s="132"/>
      <c r="Z22" s="76"/>
      <c r="AA22" s="76"/>
      <c r="AB22" s="76"/>
      <c r="AC22" s="76"/>
      <c r="AH22" s="9"/>
      <c r="AI22" s="9"/>
      <c r="AJ22" s="9"/>
      <c r="AK22" s="9"/>
      <c r="AL22" s="9"/>
      <c r="AM22" s="9"/>
      <c r="AN22" s="9"/>
      <c r="AO22" s="9"/>
      <c r="AP22" s="9"/>
    </row>
    <row r="23" spans="1:42" x14ac:dyDescent="0.25">
      <c r="A23" s="119" t="s">
        <v>123</v>
      </c>
      <c r="B23" s="121" t="s">
        <v>139</v>
      </c>
      <c r="C23" s="121" t="s">
        <v>140</v>
      </c>
      <c r="D23" s="121" t="s">
        <v>94</v>
      </c>
      <c r="E23" s="121" t="s">
        <v>100</v>
      </c>
      <c r="F23" s="121" t="s">
        <v>120</v>
      </c>
      <c r="G23" s="121" t="s">
        <v>141</v>
      </c>
      <c r="H23" s="121" t="s">
        <v>142</v>
      </c>
      <c r="I23" s="121">
        <v>-497651</v>
      </c>
      <c r="J23" s="121"/>
      <c r="K23" s="121">
        <v>-497651</v>
      </c>
      <c r="L23" s="121"/>
      <c r="M23" s="121"/>
      <c r="N23" s="31"/>
      <c r="O23" s="31"/>
      <c r="P23" s="31"/>
      <c r="Q23" s="31"/>
      <c r="R23" s="31"/>
      <c r="S23" s="31"/>
      <c r="T23" s="31"/>
      <c r="U23" s="31"/>
      <c r="V23" s="31"/>
      <c r="W23" s="31"/>
      <c r="X23" s="31"/>
      <c r="Y23" s="31"/>
      <c r="Z23" s="76"/>
      <c r="AA23" s="76"/>
      <c r="AB23" s="76"/>
      <c r="AC23" s="76"/>
      <c r="AH23" s="9"/>
      <c r="AI23" s="9"/>
      <c r="AJ23" s="9"/>
      <c r="AK23" s="9"/>
      <c r="AL23" s="9"/>
      <c r="AM23" s="9"/>
      <c r="AN23" s="9"/>
      <c r="AO23" s="9"/>
      <c r="AP23" s="9"/>
    </row>
    <row r="24" spans="1:42" x14ac:dyDescent="0.25">
      <c r="A24" s="120" t="s">
        <v>129</v>
      </c>
      <c r="B24" s="122" t="s">
        <v>97</v>
      </c>
      <c r="C24" s="122" t="s">
        <v>158</v>
      </c>
      <c r="D24" s="122" t="s">
        <v>94</v>
      </c>
      <c r="E24" s="122" t="s">
        <v>100</v>
      </c>
      <c r="F24" s="122" t="s">
        <v>104</v>
      </c>
      <c r="G24" s="122" t="s">
        <v>159</v>
      </c>
      <c r="H24" s="122" t="s">
        <v>160</v>
      </c>
      <c r="I24" s="122">
        <v>-194712</v>
      </c>
      <c r="J24" s="122"/>
      <c r="K24" s="122"/>
      <c r="L24" s="122"/>
      <c r="M24" s="122"/>
      <c r="N24" s="31"/>
      <c r="O24" s="31">
        <v>-194712</v>
      </c>
      <c r="P24" s="31"/>
      <c r="Q24" s="31"/>
      <c r="R24" s="31"/>
      <c r="S24" s="31"/>
      <c r="T24" s="31"/>
      <c r="U24" s="31"/>
      <c r="V24" s="31"/>
      <c r="W24" s="31"/>
      <c r="X24" s="31"/>
      <c r="Y24" s="31"/>
      <c r="Z24" s="76"/>
      <c r="AA24" s="76"/>
      <c r="AB24" s="76"/>
      <c r="AC24" s="76"/>
      <c r="AH24" s="9"/>
      <c r="AI24" s="9"/>
      <c r="AJ24" s="9"/>
      <c r="AK24" s="9"/>
      <c r="AL24" s="9"/>
      <c r="AM24" s="9"/>
      <c r="AN24" s="9"/>
      <c r="AO24" s="9"/>
      <c r="AP24" s="9"/>
    </row>
    <row r="25" spans="1:42" x14ac:dyDescent="0.25">
      <c r="A25" s="25" t="s">
        <v>129</v>
      </c>
      <c r="B25" s="25" t="s">
        <v>97</v>
      </c>
      <c r="C25" s="25" t="s">
        <v>202</v>
      </c>
      <c r="D25" s="25" t="s">
        <v>94</v>
      </c>
      <c r="E25" s="25" t="s">
        <v>100</v>
      </c>
      <c r="F25" s="25" t="s">
        <v>104</v>
      </c>
      <c r="G25" s="25" t="s">
        <v>203</v>
      </c>
      <c r="H25" s="25" t="s">
        <v>126</v>
      </c>
      <c r="I25" s="25">
        <v>-61559.01</v>
      </c>
      <c r="P25" s="25">
        <v>-61559.01</v>
      </c>
      <c r="Z25" s="76"/>
      <c r="AA25" s="76"/>
      <c r="AB25" s="76"/>
      <c r="AC25" s="76"/>
      <c r="AH25" s="9"/>
      <c r="AI25" s="9"/>
      <c r="AJ25" s="9"/>
      <c r="AK25" s="9"/>
      <c r="AL25" s="9"/>
      <c r="AM25" s="9"/>
      <c r="AN25" s="9"/>
      <c r="AO25" s="9"/>
      <c r="AP25" s="9"/>
    </row>
    <row r="26" spans="1:42" x14ac:dyDescent="0.25">
      <c r="A26" s="25" t="s">
        <v>129</v>
      </c>
      <c r="B26" s="25" t="s">
        <v>98</v>
      </c>
      <c r="C26" s="25" t="s">
        <v>128</v>
      </c>
      <c r="D26" s="25" t="s">
        <v>100</v>
      </c>
      <c r="E26" s="25" t="s">
        <v>94</v>
      </c>
      <c r="F26" s="25" t="s">
        <v>129</v>
      </c>
      <c r="G26" s="25" t="s">
        <v>130</v>
      </c>
      <c r="H26" s="25" t="s">
        <v>126</v>
      </c>
      <c r="I26" s="25">
        <v>1101739</v>
      </c>
      <c r="P26" s="25">
        <v>1101739</v>
      </c>
      <c r="U26" s="31"/>
      <c r="V26" s="31"/>
      <c r="W26" s="31"/>
      <c r="X26" s="31"/>
      <c r="Y26" s="31"/>
      <c r="Z26" s="76"/>
      <c r="AA26" s="76"/>
      <c r="AB26" s="76"/>
      <c r="AC26" s="76"/>
      <c r="AH26" s="9"/>
      <c r="AI26" s="9"/>
      <c r="AJ26" s="9"/>
      <c r="AK26" s="9"/>
      <c r="AL26" s="9"/>
      <c r="AM26" s="9"/>
      <c r="AN26" s="9"/>
      <c r="AO26" s="9"/>
      <c r="AP26" s="9"/>
    </row>
    <row r="27" spans="1:42" x14ac:dyDescent="0.25">
      <c r="A27" s="25" t="s">
        <v>129</v>
      </c>
      <c r="B27" s="25" t="s">
        <v>165</v>
      </c>
      <c r="C27" s="25" t="s">
        <v>166</v>
      </c>
      <c r="D27" s="25" t="s">
        <v>100</v>
      </c>
      <c r="E27" s="25" t="s">
        <v>94</v>
      </c>
      <c r="F27" s="25" t="s">
        <v>129</v>
      </c>
      <c r="G27" s="25" t="s">
        <v>146</v>
      </c>
      <c r="H27" s="25" t="s">
        <v>167</v>
      </c>
      <c r="I27" s="25">
        <v>962542</v>
      </c>
      <c r="J27" s="25">
        <v>962542</v>
      </c>
      <c r="Z27" s="76"/>
      <c r="AA27" s="76"/>
      <c r="AB27" s="76"/>
      <c r="AC27" s="76"/>
      <c r="AH27" s="9"/>
      <c r="AI27" s="9"/>
      <c r="AJ27" s="9"/>
      <c r="AK27" s="9"/>
      <c r="AL27" s="9"/>
      <c r="AM27" s="9"/>
      <c r="AN27" s="9"/>
      <c r="AO27" s="9"/>
      <c r="AP27" s="9"/>
    </row>
    <row r="28" spans="1:42" x14ac:dyDescent="0.25">
      <c r="A28" s="25" t="s">
        <v>129</v>
      </c>
      <c r="B28" s="25" t="s">
        <v>165</v>
      </c>
      <c r="C28" s="25" t="s">
        <v>168</v>
      </c>
      <c r="D28" s="25" t="s">
        <v>100</v>
      </c>
      <c r="E28" s="25" t="s">
        <v>94</v>
      </c>
      <c r="F28" s="25" t="s">
        <v>129</v>
      </c>
      <c r="G28" s="25" t="s">
        <v>157</v>
      </c>
      <c r="H28" s="25" t="s">
        <v>167</v>
      </c>
      <c r="I28" s="25">
        <v>152002</v>
      </c>
      <c r="J28" s="25">
        <v>152002</v>
      </c>
      <c r="U28" s="31"/>
      <c r="V28" s="31"/>
      <c r="W28" s="31"/>
      <c r="X28" s="31"/>
      <c r="Y28" s="31"/>
      <c r="Z28" s="76"/>
      <c r="AA28" s="76"/>
      <c r="AB28" s="76"/>
      <c r="AC28" s="76"/>
      <c r="AH28" s="9"/>
      <c r="AI28" s="9"/>
      <c r="AJ28" s="9"/>
      <c r="AK28" s="9"/>
      <c r="AL28" s="9"/>
      <c r="AM28" s="9"/>
      <c r="AN28" s="9"/>
      <c r="AO28" s="9"/>
      <c r="AP28" s="9"/>
    </row>
    <row r="29" spans="1:42" x14ac:dyDescent="0.25">
      <c r="A29" s="25" t="s">
        <v>129</v>
      </c>
      <c r="B29" s="25" t="s">
        <v>139</v>
      </c>
      <c r="C29" s="25" t="s">
        <v>166</v>
      </c>
      <c r="D29" s="25" t="s">
        <v>94</v>
      </c>
      <c r="E29" s="25" t="s">
        <v>100</v>
      </c>
      <c r="F29" s="25" t="s">
        <v>129</v>
      </c>
      <c r="G29" s="25" t="s">
        <v>146</v>
      </c>
      <c r="H29" s="25" t="s">
        <v>169</v>
      </c>
      <c r="I29" s="25">
        <v>-1069491</v>
      </c>
      <c r="P29" s="25">
        <v>-1069491</v>
      </c>
      <c r="U29" s="31"/>
      <c r="V29" s="31"/>
      <c r="W29" s="31"/>
      <c r="X29" s="31"/>
      <c r="Y29" s="31"/>
      <c r="Z29" s="76"/>
      <c r="AA29" s="76"/>
      <c r="AB29" s="76"/>
      <c r="AC29" s="76"/>
      <c r="AH29" s="9"/>
      <c r="AI29" s="9"/>
      <c r="AJ29" s="9"/>
      <c r="AK29" s="9"/>
      <c r="AL29" s="9"/>
      <c r="AM29" s="9"/>
      <c r="AN29" s="9"/>
      <c r="AO29" s="9"/>
      <c r="AP29" s="9"/>
    </row>
    <row r="30" spans="1:42" x14ac:dyDescent="0.25">
      <c r="A30" s="25" t="s">
        <v>129</v>
      </c>
      <c r="B30" s="25" t="s">
        <v>139</v>
      </c>
      <c r="C30" s="25" t="s">
        <v>168</v>
      </c>
      <c r="D30" s="25" t="s">
        <v>94</v>
      </c>
      <c r="E30" s="25" t="s">
        <v>100</v>
      </c>
      <c r="F30" s="25" t="s">
        <v>129</v>
      </c>
      <c r="G30" s="25" t="s">
        <v>157</v>
      </c>
      <c r="H30" s="25" t="s">
        <v>170</v>
      </c>
      <c r="I30" s="25">
        <v>-168891</v>
      </c>
      <c r="O30" s="25">
        <v>-168891</v>
      </c>
      <c r="U30" s="31"/>
      <c r="V30" s="31"/>
      <c r="W30" s="31"/>
      <c r="X30" s="31"/>
      <c r="Y30" s="31"/>
      <c r="Z30" s="76"/>
      <c r="AA30" s="76"/>
      <c r="AB30" s="76"/>
      <c r="AC30" s="76"/>
      <c r="AH30" s="9"/>
      <c r="AI30" s="9"/>
      <c r="AJ30" s="9"/>
      <c r="AK30" s="9"/>
      <c r="AL30" s="9"/>
      <c r="AM30" s="9"/>
      <c r="AN30" s="9"/>
      <c r="AO30" s="9"/>
      <c r="AP30" s="9"/>
    </row>
    <row r="31" spans="1:42" x14ac:dyDescent="0.25">
      <c r="A31" s="25" t="s">
        <v>104</v>
      </c>
      <c r="B31" s="25" t="s">
        <v>98</v>
      </c>
      <c r="C31" s="25" t="s">
        <v>158</v>
      </c>
      <c r="D31" s="25" t="s">
        <v>100</v>
      </c>
      <c r="E31" s="25" t="s">
        <v>94</v>
      </c>
      <c r="F31" s="25" t="s">
        <v>104</v>
      </c>
      <c r="G31" s="25" t="s">
        <v>159</v>
      </c>
      <c r="H31" s="25" t="s">
        <v>160</v>
      </c>
      <c r="I31" s="25">
        <v>194712</v>
      </c>
      <c r="O31" s="25">
        <v>194712</v>
      </c>
      <c r="Z31" s="76"/>
      <c r="AA31" s="76"/>
      <c r="AB31" s="76"/>
      <c r="AC31" s="76"/>
      <c r="AH31" s="9"/>
      <c r="AI31" s="9"/>
      <c r="AJ31" s="9"/>
      <c r="AK31" s="9"/>
      <c r="AL31" s="9"/>
      <c r="AM31" s="9"/>
      <c r="AN31" s="9"/>
      <c r="AO31" s="9"/>
      <c r="AP31" s="9"/>
    </row>
    <row r="32" spans="1:42" x14ac:dyDescent="0.25">
      <c r="A32" s="163" t="s">
        <v>104</v>
      </c>
      <c r="B32" s="163" t="s">
        <v>98</v>
      </c>
      <c r="C32" s="163" t="s">
        <v>202</v>
      </c>
      <c r="D32" s="163" t="s">
        <v>100</v>
      </c>
      <c r="E32" s="163" t="s">
        <v>94</v>
      </c>
      <c r="F32" s="163" t="s">
        <v>104</v>
      </c>
      <c r="G32" s="163" t="s">
        <v>203</v>
      </c>
      <c r="H32" s="163" t="s">
        <v>126</v>
      </c>
      <c r="I32" s="163">
        <v>61559.01</v>
      </c>
      <c r="J32" s="163"/>
      <c r="K32" s="163"/>
      <c r="L32" s="163"/>
      <c r="M32" s="163"/>
      <c r="N32" s="163">
        <v>61559.01</v>
      </c>
      <c r="O32" s="163"/>
      <c r="P32" s="163"/>
      <c r="Q32" s="163"/>
      <c r="R32" s="163"/>
      <c r="S32" s="163"/>
      <c r="T32" s="163"/>
      <c r="U32" s="31"/>
      <c r="V32" s="31"/>
      <c r="W32" s="31"/>
      <c r="X32" s="31"/>
      <c r="Y32" s="31"/>
      <c r="Z32" s="76"/>
      <c r="AA32" s="76"/>
      <c r="AB32" s="76"/>
      <c r="AC32" s="76"/>
      <c r="AH32" s="9"/>
      <c r="AI32" s="9"/>
      <c r="AJ32" s="9"/>
      <c r="AK32" s="9"/>
      <c r="AL32" s="9"/>
      <c r="AM32" s="9"/>
      <c r="AN32" s="9"/>
      <c r="AO32" s="9"/>
      <c r="AP32" s="9"/>
    </row>
    <row r="33" spans="1:42" x14ac:dyDescent="0.25">
      <c r="A33" s="163" t="s">
        <v>104</v>
      </c>
      <c r="B33" s="163" t="s">
        <v>99</v>
      </c>
      <c r="C33" s="163" t="s">
        <v>102</v>
      </c>
      <c r="D33" s="163" t="s">
        <v>94</v>
      </c>
      <c r="E33" s="163" t="s">
        <v>103</v>
      </c>
      <c r="F33" s="163" t="s">
        <v>104</v>
      </c>
      <c r="G33" s="163"/>
      <c r="H33" s="163" t="s">
        <v>106</v>
      </c>
      <c r="I33" s="163">
        <v>-185000</v>
      </c>
      <c r="J33" s="163"/>
      <c r="K33" s="163"/>
      <c r="L33" s="163"/>
      <c r="M33" s="163"/>
      <c r="N33" s="163"/>
      <c r="O33" s="163">
        <v>-185000</v>
      </c>
      <c r="P33" s="163"/>
      <c r="Q33" s="163"/>
      <c r="R33" s="163"/>
      <c r="S33" s="163"/>
      <c r="T33" s="163"/>
      <c r="Z33" s="76"/>
      <c r="AA33" s="76"/>
      <c r="AB33" s="76"/>
      <c r="AC33" s="76"/>
      <c r="AH33" s="9"/>
      <c r="AI33" s="9"/>
      <c r="AJ33" s="9"/>
      <c r="AK33" s="9"/>
      <c r="AL33" s="9"/>
      <c r="AM33" s="9"/>
      <c r="AN33" s="9"/>
      <c r="AO33" s="9"/>
      <c r="AP33" s="9"/>
    </row>
    <row r="34" spans="1:42" ht="15.75" x14ac:dyDescent="0.25">
      <c r="A34" s="199" t="s">
        <v>80</v>
      </c>
      <c r="B34" s="199"/>
      <c r="C34" s="199"/>
      <c r="D34" s="199"/>
      <c r="E34" s="199"/>
      <c r="F34" s="199"/>
      <c r="G34" s="199"/>
      <c r="AI34" s="76"/>
      <c r="AJ34" s="76"/>
      <c r="AK34" s="76"/>
      <c r="AL34" s="76"/>
    </row>
    <row r="36" spans="1:42" x14ac:dyDescent="0.25">
      <c r="A36" s="76" t="s">
        <v>43</v>
      </c>
      <c r="B36" s="76" t="s">
        <v>44</v>
      </c>
      <c r="C36" s="76" t="s">
        <v>13</v>
      </c>
      <c r="D36" s="76" t="s">
        <v>88</v>
      </c>
      <c r="E36" s="76" t="s">
        <v>89</v>
      </c>
      <c r="F36" s="76" t="s">
        <v>45</v>
      </c>
      <c r="G36" s="76" t="s">
        <v>90</v>
      </c>
      <c r="H36" s="76" t="s">
        <v>91</v>
      </c>
      <c r="I36" s="76" t="s">
        <v>10</v>
      </c>
      <c r="J36" s="76" t="s">
        <v>153</v>
      </c>
      <c r="K36" s="76" t="s">
        <v>4</v>
      </c>
      <c r="L36" s="76" t="s">
        <v>147</v>
      </c>
      <c r="M36" s="76" t="s">
        <v>5</v>
      </c>
      <c r="N36" s="76" t="s">
        <v>131</v>
      </c>
      <c r="O36" s="76" t="s">
        <v>143</v>
      </c>
      <c r="P36" s="76" t="s">
        <v>148</v>
      </c>
      <c r="Q36" s="76" t="s">
        <v>149</v>
      </c>
      <c r="R36" s="76" t="s">
        <v>150</v>
      </c>
      <c r="S36" s="31" t="s">
        <v>151</v>
      </c>
      <c r="T36" s="76"/>
      <c r="U36" s="76"/>
      <c r="V36" s="76"/>
      <c r="AE36" s="9"/>
      <c r="AF36" s="9"/>
      <c r="AG36" s="9"/>
      <c r="AH36" s="9"/>
      <c r="AI36" s="9"/>
      <c r="AJ36" s="9"/>
      <c r="AK36" s="9"/>
      <c r="AL36" s="9"/>
      <c r="AM36" s="9"/>
      <c r="AN36" s="9"/>
      <c r="AO36" s="9"/>
      <c r="AP36" s="9"/>
    </row>
    <row r="37" spans="1:42" x14ac:dyDescent="0.25">
      <c r="A37" s="31" t="s">
        <v>101</v>
      </c>
      <c r="B37" s="31" t="s">
        <v>118</v>
      </c>
      <c r="C37" s="31" t="s">
        <v>119</v>
      </c>
      <c r="D37" s="31" t="s">
        <v>94</v>
      </c>
      <c r="E37" s="31" t="s">
        <v>100</v>
      </c>
      <c r="F37" s="31" t="s">
        <v>120</v>
      </c>
      <c r="G37" s="31"/>
      <c r="H37" s="31" t="s">
        <v>121</v>
      </c>
      <c r="I37" s="31">
        <v>-0.28999999999999998</v>
      </c>
      <c r="J37" s="31"/>
      <c r="K37" s="31">
        <v>0</v>
      </c>
      <c r="L37" s="76">
        <v>0</v>
      </c>
      <c r="M37" s="76">
        <v>0</v>
      </c>
      <c r="N37" s="133"/>
      <c r="O37" s="133"/>
      <c r="P37" s="133">
        <v>0</v>
      </c>
      <c r="Q37" s="133"/>
      <c r="R37" s="133"/>
      <c r="S37" s="31"/>
      <c r="T37" s="133"/>
      <c r="U37" s="123"/>
      <c r="V37" s="76"/>
      <c r="AE37" s="9"/>
      <c r="AF37" s="9"/>
      <c r="AG37" s="9"/>
      <c r="AH37" s="9"/>
      <c r="AI37" s="9"/>
      <c r="AJ37" s="9"/>
      <c r="AK37" s="9"/>
      <c r="AL37" s="9"/>
      <c r="AM37" s="9"/>
      <c r="AN37" s="9"/>
      <c r="AO37" s="9"/>
      <c r="AP37" s="9"/>
    </row>
    <row r="38" spans="1:42" x14ac:dyDescent="0.25">
      <c r="A38" s="76" t="s">
        <v>101</v>
      </c>
      <c r="B38" s="76" t="s">
        <v>96</v>
      </c>
      <c r="C38" s="76" t="s">
        <v>102</v>
      </c>
      <c r="D38" s="76" t="s">
        <v>103</v>
      </c>
      <c r="E38" s="76" t="s">
        <v>94</v>
      </c>
      <c r="F38" s="76" t="s">
        <v>104</v>
      </c>
      <c r="G38" s="76"/>
      <c r="H38" s="76" t="s">
        <v>105</v>
      </c>
      <c r="I38" s="76">
        <v>185000</v>
      </c>
      <c r="J38" s="76"/>
      <c r="K38" s="76"/>
      <c r="L38" s="76"/>
      <c r="M38" s="76"/>
      <c r="N38" s="133"/>
      <c r="O38" s="133"/>
      <c r="P38" s="133">
        <v>185000</v>
      </c>
      <c r="Q38" s="133"/>
      <c r="R38" s="133"/>
      <c r="S38" s="31"/>
      <c r="T38" s="133"/>
      <c r="U38" s="123"/>
      <c r="V38" s="76"/>
      <c r="AE38" s="9"/>
      <c r="AF38" s="9"/>
      <c r="AG38" s="9"/>
      <c r="AH38" s="9"/>
      <c r="AI38" s="9"/>
      <c r="AJ38" s="9"/>
      <c r="AK38" s="9"/>
      <c r="AL38" s="9"/>
      <c r="AM38" s="9"/>
      <c r="AN38" s="9"/>
      <c r="AO38" s="9"/>
      <c r="AP38" s="9"/>
    </row>
    <row r="39" spans="1:42" x14ac:dyDescent="0.25">
      <c r="A39" s="76" t="s">
        <v>101</v>
      </c>
      <c r="B39" s="76" t="s">
        <v>96</v>
      </c>
      <c r="C39" s="76" t="s">
        <v>112</v>
      </c>
      <c r="D39" s="76" t="s">
        <v>100</v>
      </c>
      <c r="E39" s="76" t="s">
        <v>94</v>
      </c>
      <c r="F39" s="76" t="s">
        <v>116</v>
      </c>
      <c r="G39" s="76"/>
      <c r="H39" s="76" t="s">
        <v>113</v>
      </c>
      <c r="I39" s="76">
        <v>344267</v>
      </c>
      <c r="J39" s="76"/>
      <c r="K39" s="76"/>
      <c r="L39" s="76"/>
      <c r="M39" s="76"/>
      <c r="N39" s="133"/>
      <c r="O39" s="133"/>
      <c r="P39" s="133">
        <v>344267</v>
      </c>
      <c r="Q39" s="133"/>
      <c r="R39" s="133"/>
      <c r="S39" s="31"/>
      <c r="T39" s="133"/>
      <c r="U39" s="123"/>
      <c r="V39" s="76"/>
      <c r="AE39" s="9"/>
      <c r="AF39" s="9"/>
      <c r="AG39" s="9"/>
      <c r="AH39" s="9"/>
      <c r="AI39" s="9"/>
      <c r="AJ39" s="9"/>
      <c r="AK39" s="9"/>
      <c r="AL39" s="9"/>
      <c r="AM39" s="9"/>
      <c r="AN39" s="9"/>
      <c r="AO39" s="9"/>
      <c r="AP39" s="9"/>
    </row>
    <row r="40" spans="1:42" x14ac:dyDescent="0.25">
      <c r="A40" s="76" t="s">
        <v>101</v>
      </c>
      <c r="B40" s="76" t="s">
        <v>97</v>
      </c>
      <c r="C40" s="76" t="s">
        <v>107</v>
      </c>
      <c r="D40" s="76" t="s">
        <v>94</v>
      </c>
      <c r="E40" s="76" t="s">
        <v>108</v>
      </c>
      <c r="F40" s="76" t="s">
        <v>109</v>
      </c>
      <c r="G40" s="76"/>
      <c r="H40" s="76" t="s">
        <v>110</v>
      </c>
      <c r="I40" s="76">
        <v>-193259</v>
      </c>
      <c r="J40" s="76"/>
      <c r="K40" s="76">
        <v>-193259</v>
      </c>
      <c r="L40" s="76"/>
      <c r="M40" s="76"/>
      <c r="N40" s="133"/>
      <c r="O40" s="133"/>
      <c r="P40" s="133"/>
      <c r="Q40" s="133"/>
      <c r="R40" s="133"/>
      <c r="S40" s="31"/>
      <c r="T40" s="133"/>
      <c r="U40" s="123"/>
      <c r="V40" s="76"/>
      <c r="W40" s="9"/>
      <c r="X40" s="9"/>
      <c r="Y40" s="9"/>
      <c r="Z40" s="9"/>
      <c r="AA40" s="9"/>
      <c r="AB40" s="9"/>
      <c r="AC40" s="9"/>
      <c r="AD40" s="9"/>
      <c r="AE40" s="9"/>
      <c r="AF40" s="9"/>
      <c r="AG40" s="9"/>
      <c r="AH40" s="9"/>
      <c r="AI40" s="9"/>
      <c r="AJ40" s="9"/>
      <c r="AK40" s="9"/>
      <c r="AL40" s="9"/>
      <c r="AM40" s="9"/>
      <c r="AN40" s="9"/>
      <c r="AO40" s="9"/>
      <c r="AP40" s="9"/>
    </row>
    <row r="41" spans="1:42" x14ac:dyDescent="0.25">
      <c r="A41" s="76" t="s">
        <v>114</v>
      </c>
      <c r="B41" s="76" t="s">
        <v>97</v>
      </c>
      <c r="C41" s="76" t="s">
        <v>125</v>
      </c>
      <c r="D41" s="76" t="s">
        <v>94</v>
      </c>
      <c r="E41" s="76" t="s">
        <v>100</v>
      </c>
      <c r="F41" s="76" t="s">
        <v>109</v>
      </c>
      <c r="G41" s="76"/>
      <c r="H41" s="76" t="s">
        <v>126</v>
      </c>
      <c r="I41" s="76">
        <v>-246348.83</v>
      </c>
      <c r="J41" s="76"/>
      <c r="K41" s="76"/>
      <c r="L41" s="76"/>
      <c r="M41" s="76"/>
      <c r="N41" s="133"/>
      <c r="O41" s="133"/>
      <c r="P41" s="133">
        <v>-246348.83</v>
      </c>
      <c r="Q41" s="133"/>
      <c r="R41" s="133"/>
      <c r="S41" s="31"/>
      <c r="T41" s="133"/>
      <c r="U41" s="123"/>
      <c r="V41" s="76"/>
      <c r="W41" s="9"/>
      <c r="X41" s="9"/>
      <c r="Y41" s="9"/>
      <c r="Z41" s="9"/>
      <c r="AA41" s="9"/>
      <c r="AB41" s="9"/>
      <c r="AC41" s="9"/>
      <c r="AD41" s="9"/>
      <c r="AE41" s="9"/>
      <c r="AF41" s="9"/>
      <c r="AG41" s="9"/>
      <c r="AH41" s="9"/>
      <c r="AI41" s="9"/>
      <c r="AJ41" s="9"/>
      <c r="AK41" s="9"/>
      <c r="AL41" s="9"/>
      <c r="AM41" s="9"/>
      <c r="AN41" s="9"/>
      <c r="AO41" s="9"/>
      <c r="AP41" s="9"/>
    </row>
    <row r="42" spans="1:42" x14ac:dyDescent="0.25">
      <c r="A42" s="76" t="s">
        <v>114</v>
      </c>
      <c r="B42" s="76" t="s">
        <v>99</v>
      </c>
      <c r="C42" s="76" t="s">
        <v>112</v>
      </c>
      <c r="D42" s="76" t="s">
        <v>94</v>
      </c>
      <c r="E42" s="76" t="s">
        <v>100</v>
      </c>
      <c r="F42" s="76"/>
      <c r="G42" s="76"/>
      <c r="H42" s="76" t="s">
        <v>115</v>
      </c>
      <c r="I42" s="76">
        <v>-344267</v>
      </c>
      <c r="J42" s="76"/>
      <c r="K42" s="76"/>
      <c r="L42" s="76"/>
      <c r="M42" s="76"/>
      <c r="N42" s="133"/>
      <c r="O42" s="133"/>
      <c r="P42" s="133">
        <v>-344267</v>
      </c>
      <c r="Q42" s="133"/>
      <c r="R42" s="133"/>
      <c r="S42" s="31"/>
      <c r="T42" s="133"/>
      <c r="U42" s="123"/>
      <c r="V42" s="76"/>
      <c r="W42" s="9"/>
      <c r="X42" s="9"/>
      <c r="Y42" s="9"/>
      <c r="Z42" s="9"/>
      <c r="AA42" s="9"/>
      <c r="AB42" s="9"/>
      <c r="AC42" s="9"/>
      <c r="AD42" s="9"/>
      <c r="AE42" s="9"/>
      <c r="AF42" s="9"/>
      <c r="AG42" s="9"/>
      <c r="AH42" s="9"/>
      <c r="AI42" s="9"/>
      <c r="AJ42" s="9"/>
      <c r="AK42" s="9"/>
      <c r="AL42" s="9"/>
      <c r="AM42" s="9"/>
      <c r="AN42" s="9"/>
      <c r="AO42" s="9"/>
      <c r="AP42" s="9"/>
    </row>
    <row r="43" spans="1:42" x14ac:dyDescent="0.25">
      <c r="A43" s="96" t="s">
        <v>109</v>
      </c>
      <c r="B43" s="96" t="s">
        <v>96</v>
      </c>
      <c r="C43" s="96" t="s">
        <v>122</v>
      </c>
      <c r="D43" s="96" t="s">
        <v>108</v>
      </c>
      <c r="E43" s="96" t="s">
        <v>94</v>
      </c>
      <c r="F43" s="96" t="s">
        <v>123</v>
      </c>
      <c r="G43" s="96"/>
      <c r="H43" s="96" t="s">
        <v>124</v>
      </c>
      <c r="I43" s="96">
        <v>105000</v>
      </c>
      <c r="J43" s="96"/>
      <c r="K43" s="96">
        <v>105000</v>
      </c>
      <c r="L43" s="96"/>
      <c r="M43" s="96"/>
      <c r="N43" s="134"/>
      <c r="O43" s="134"/>
      <c r="P43" s="134"/>
      <c r="Q43" s="134"/>
      <c r="R43" s="134"/>
      <c r="T43" s="134"/>
      <c r="U43" s="124"/>
      <c r="V43" s="96"/>
      <c r="W43" s="9"/>
      <c r="X43" s="9"/>
      <c r="Y43" s="9"/>
      <c r="Z43" s="9"/>
      <c r="AA43" s="9"/>
      <c r="AB43" s="9"/>
      <c r="AC43" s="9"/>
      <c r="AD43" s="9"/>
      <c r="AE43" s="9"/>
      <c r="AF43" s="9"/>
      <c r="AG43" s="9"/>
      <c r="AH43" s="9"/>
      <c r="AI43" s="9"/>
      <c r="AJ43" s="9"/>
      <c r="AK43" s="9"/>
      <c r="AL43" s="9"/>
      <c r="AM43" s="9"/>
      <c r="AN43" s="9"/>
      <c r="AO43" s="9"/>
      <c r="AP43" s="9"/>
    </row>
    <row r="44" spans="1:42" x14ac:dyDescent="0.25">
      <c r="A44" s="109" t="s">
        <v>109</v>
      </c>
      <c r="B44" s="109" t="s">
        <v>98</v>
      </c>
      <c r="C44" s="109" t="s">
        <v>107</v>
      </c>
      <c r="D44" s="109" t="s">
        <v>108</v>
      </c>
      <c r="E44" s="109" t="s">
        <v>94</v>
      </c>
      <c r="F44" s="109" t="s">
        <v>109</v>
      </c>
      <c r="G44" s="109"/>
      <c r="H44" s="109" t="s">
        <v>111</v>
      </c>
      <c r="I44" s="109">
        <v>193259</v>
      </c>
      <c r="J44" s="109"/>
      <c r="K44" s="109">
        <v>193259</v>
      </c>
      <c r="L44" s="109"/>
      <c r="M44" s="109"/>
      <c r="N44" s="134"/>
      <c r="O44" s="134"/>
      <c r="P44" s="134"/>
      <c r="Q44" s="134"/>
      <c r="R44" s="134"/>
      <c r="T44" s="134"/>
      <c r="U44" s="124"/>
      <c r="V44" s="109"/>
      <c r="W44" s="9"/>
      <c r="X44" s="9"/>
      <c r="Y44" s="9"/>
      <c r="Z44" s="9"/>
      <c r="AA44" s="9"/>
      <c r="AB44" s="9"/>
      <c r="AC44" s="9"/>
      <c r="AD44" s="9"/>
      <c r="AE44" s="9"/>
      <c r="AF44" s="9"/>
      <c r="AG44" s="9"/>
      <c r="AH44" s="9"/>
      <c r="AI44" s="9"/>
      <c r="AJ44" s="9"/>
      <c r="AK44" s="9"/>
      <c r="AL44" s="9"/>
      <c r="AM44" s="9"/>
      <c r="AN44" s="9"/>
      <c r="AO44" s="9"/>
      <c r="AP44" s="9"/>
    </row>
    <row r="45" spans="1:42" x14ac:dyDescent="0.25">
      <c r="A45" s="109" t="s">
        <v>109</v>
      </c>
      <c r="B45" s="109" t="s">
        <v>98</v>
      </c>
      <c r="C45" s="109" t="s">
        <v>125</v>
      </c>
      <c r="D45" s="109" t="s">
        <v>100</v>
      </c>
      <c r="E45" s="109" t="s">
        <v>94</v>
      </c>
      <c r="F45" s="109" t="s">
        <v>109</v>
      </c>
      <c r="G45" s="109"/>
      <c r="H45" s="109" t="s">
        <v>126</v>
      </c>
      <c r="I45" s="109">
        <v>246348.83</v>
      </c>
      <c r="J45" s="109"/>
      <c r="K45" s="109"/>
      <c r="L45" s="109"/>
      <c r="M45" s="109"/>
      <c r="N45" s="134"/>
      <c r="O45" s="134"/>
      <c r="P45" s="134">
        <v>246348.83</v>
      </c>
      <c r="Q45" s="134"/>
      <c r="R45" s="134"/>
      <c r="T45" s="134"/>
      <c r="U45" s="124"/>
      <c r="V45" s="109"/>
      <c r="W45" s="9"/>
      <c r="X45" s="9"/>
      <c r="Y45" s="9"/>
      <c r="Z45" s="9"/>
      <c r="AA45" s="9"/>
      <c r="AB45" s="9"/>
      <c r="AC45" s="9"/>
      <c r="AD45" s="9"/>
      <c r="AE45" s="9"/>
      <c r="AF45" s="9"/>
      <c r="AG45" s="9"/>
      <c r="AH45" s="9"/>
      <c r="AI45" s="9"/>
      <c r="AJ45" s="9"/>
      <c r="AK45" s="9"/>
      <c r="AL45" s="9"/>
      <c r="AM45" s="9"/>
      <c r="AN45" s="9"/>
      <c r="AO45" s="9"/>
      <c r="AP45" s="9"/>
    </row>
    <row r="46" spans="1:42" x14ac:dyDescent="0.25">
      <c r="A46" s="114" t="s">
        <v>123</v>
      </c>
      <c r="B46" s="114" t="s">
        <v>97</v>
      </c>
      <c r="C46" s="114" t="s">
        <v>128</v>
      </c>
      <c r="D46" s="114" t="s">
        <v>94</v>
      </c>
      <c r="E46" s="114" t="s">
        <v>100</v>
      </c>
      <c r="F46" s="114" t="s">
        <v>129</v>
      </c>
      <c r="G46" s="114" t="s">
        <v>130</v>
      </c>
      <c r="H46" s="114" t="s">
        <v>126</v>
      </c>
      <c r="I46" s="114">
        <v>-1101739</v>
      </c>
      <c r="J46" s="114"/>
      <c r="K46" s="114"/>
      <c r="L46" s="114"/>
      <c r="M46" s="114"/>
      <c r="N46" s="134"/>
      <c r="O46" s="134"/>
      <c r="P46" s="134">
        <v>-1101739</v>
      </c>
      <c r="Q46" s="134"/>
      <c r="R46" s="134"/>
      <c r="T46" s="134"/>
      <c r="U46" s="124"/>
      <c r="V46" s="114"/>
      <c r="W46" s="9"/>
      <c r="X46" s="9"/>
      <c r="Y46" s="9"/>
      <c r="Z46" s="9"/>
      <c r="AA46" s="9"/>
      <c r="AB46" s="9"/>
      <c r="AC46" s="9"/>
      <c r="AD46" s="9"/>
      <c r="AE46" s="9"/>
      <c r="AF46" s="9"/>
      <c r="AG46" s="9"/>
      <c r="AH46" s="9"/>
      <c r="AI46" s="9"/>
      <c r="AJ46" s="9"/>
      <c r="AK46" s="9"/>
      <c r="AL46" s="9"/>
      <c r="AM46" s="9"/>
      <c r="AN46" s="9"/>
      <c r="AO46" s="9"/>
      <c r="AP46" s="9"/>
    </row>
    <row r="47" spans="1:42" x14ac:dyDescent="0.25">
      <c r="A47" s="114" t="s">
        <v>123</v>
      </c>
      <c r="B47" s="114" t="s">
        <v>99</v>
      </c>
      <c r="C47" s="114" t="s">
        <v>122</v>
      </c>
      <c r="D47" s="114" t="s">
        <v>94</v>
      </c>
      <c r="E47" s="114" t="s">
        <v>108</v>
      </c>
      <c r="F47" s="114" t="s">
        <v>123</v>
      </c>
      <c r="G47" s="114"/>
      <c r="H47" s="114" t="s">
        <v>124</v>
      </c>
      <c r="I47" s="114">
        <v>-105000</v>
      </c>
      <c r="J47" s="114"/>
      <c r="K47" s="114">
        <v>-105000</v>
      </c>
      <c r="L47" s="114"/>
      <c r="M47" s="114"/>
      <c r="N47" s="134"/>
      <c r="O47" s="134"/>
      <c r="P47" s="134"/>
      <c r="Q47" s="134"/>
      <c r="R47" s="134"/>
      <c r="T47" s="134"/>
      <c r="U47" s="124"/>
      <c r="V47" s="114"/>
      <c r="W47" s="9"/>
      <c r="X47" s="9"/>
      <c r="Y47" s="9"/>
      <c r="Z47" s="9"/>
      <c r="AA47" s="9"/>
      <c r="AB47" s="9"/>
      <c r="AC47" s="9"/>
      <c r="AD47" s="9"/>
      <c r="AE47" s="9"/>
      <c r="AF47" s="9"/>
      <c r="AG47" s="9"/>
      <c r="AH47" s="9"/>
      <c r="AI47" s="9"/>
      <c r="AJ47" s="9"/>
      <c r="AK47" s="9"/>
      <c r="AL47" s="9"/>
      <c r="AM47" s="9"/>
      <c r="AN47" s="9"/>
      <c r="AO47" s="9"/>
      <c r="AP47" s="9"/>
    </row>
    <row r="48" spans="1:42" x14ac:dyDescent="0.25">
      <c r="A48" s="25" t="s">
        <v>123</v>
      </c>
      <c r="B48" s="25" t="s">
        <v>139</v>
      </c>
      <c r="C48" s="25" t="s">
        <v>140</v>
      </c>
      <c r="D48" s="25" t="s">
        <v>94</v>
      </c>
      <c r="E48" s="25" t="s">
        <v>100</v>
      </c>
      <c r="F48" s="25" t="s">
        <v>120</v>
      </c>
      <c r="G48" s="25" t="s">
        <v>141</v>
      </c>
      <c r="H48" s="25" t="s">
        <v>142</v>
      </c>
      <c r="I48" s="25">
        <v>-497651</v>
      </c>
      <c r="K48" s="25">
        <v>-497651</v>
      </c>
      <c r="N48" s="134"/>
      <c r="O48" s="134"/>
      <c r="P48" s="134"/>
      <c r="Q48" s="134"/>
      <c r="R48" s="134"/>
      <c r="T48" s="134"/>
      <c r="U48" s="124"/>
      <c r="AA48" s="9"/>
      <c r="AB48" s="9"/>
      <c r="AC48" s="9"/>
      <c r="AD48" s="9"/>
      <c r="AE48" s="9"/>
      <c r="AF48" s="9"/>
      <c r="AG48" s="9"/>
      <c r="AH48" s="9"/>
      <c r="AI48" s="9"/>
      <c r="AJ48" s="9"/>
      <c r="AK48" s="9"/>
      <c r="AL48" s="9"/>
      <c r="AM48" s="9"/>
      <c r="AN48" s="9"/>
      <c r="AO48" s="9"/>
      <c r="AP48" s="9"/>
    </row>
    <row r="49" spans="1:42" x14ac:dyDescent="0.25">
      <c r="A49" s="25" t="s">
        <v>129</v>
      </c>
      <c r="B49" s="25" t="s">
        <v>97</v>
      </c>
      <c r="C49" s="25" t="s">
        <v>158</v>
      </c>
      <c r="D49" s="25" t="s">
        <v>94</v>
      </c>
      <c r="E49" s="25" t="s">
        <v>100</v>
      </c>
      <c r="F49" s="25" t="s">
        <v>104</v>
      </c>
      <c r="G49" s="25" t="s">
        <v>159</v>
      </c>
      <c r="H49" s="25" t="s">
        <v>160</v>
      </c>
      <c r="I49" s="25">
        <v>-194712</v>
      </c>
      <c r="N49" s="134"/>
      <c r="O49" s="134">
        <v>-194712</v>
      </c>
      <c r="P49" s="134"/>
      <c r="Q49" s="134"/>
      <c r="R49" s="134"/>
      <c r="T49" s="134"/>
      <c r="U49" s="124"/>
      <c r="AA49" s="9"/>
      <c r="AB49" s="9"/>
      <c r="AC49" s="9"/>
      <c r="AD49" s="9"/>
      <c r="AE49" s="9"/>
      <c r="AF49" s="9"/>
      <c r="AG49" s="9"/>
      <c r="AH49" s="9"/>
      <c r="AI49" s="9"/>
      <c r="AJ49" s="9"/>
      <c r="AK49" s="9"/>
      <c r="AL49" s="9"/>
      <c r="AM49" s="9"/>
      <c r="AN49" s="9"/>
      <c r="AO49" s="9"/>
      <c r="AP49" s="9"/>
    </row>
    <row r="50" spans="1:42" x14ac:dyDescent="0.25">
      <c r="A50" s="124" t="s">
        <v>129</v>
      </c>
      <c r="B50" s="124" t="s">
        <v>97</v>
      </c>
      <c r="C50" s="124" t="s">
        <v>202</v>
      </c>
      <c r="D50" s="124" t="s">
        <v>94</v>
      </c>
      <c r="E50" s="124" t="s">
        <v>100</v>
      </c>
      <c r="F50" s="124" t="s">
        <v>104</v>
      </c>
      <c r="G50" s="124" t="s">
        <v>203</v>
      </c>
      <c r="H50" s="124" t="s">
        <v>126</v>
      </c>
      <c r="I50" s="124">
        <v>-61559.01</v>
      </c>
      <c r="J50" s="124"/>
      <c r="K50" s="124"/>
      <c r="L50" s="124"/>
      <c r="M50" s="124"/>
      <c r="N50" s="134"/>
      <c r="O50" s="134"/>
      <c r="P50" s="134">
        <v>-61559.01</v>
      </c>
      <c r="Q50" s="134"/>
      <c r="R50" s="134"/>
      <c r="T50" s="134"/>
      <c r="U50" s="124"/>
      <c r="AA50" s="9"/>
      <c r="AB50" s="9"/>
      <c r="AC50" s="9"/>
      <c r="AD50" s="9"/>
      <c r="AE50" s="9"/>
      <c r="AF50" s="9"/>
      <c r="AG50" s="9"/>
      <c r="AH50" s="9"/>
      <c r="AI50" s="9"/>
      <c r="AJ50" s="9"/>
      <c r="AK50" s="9"/>
      <c r="AL50" s="9"/>
      <c r="AM50" s="9"/>
      <c r="AN50" s="9"/>
      <c r="AO50" s="9"/>
      <c r="AP50" s="9"/>
    </row>
    <row r="51" spans="1:42" x14ac:dyDescent="0.25">
      <c r="A51" s="25" t="s">
        <v>129</v>
      </c>
      <c r="B51" s="25" t="s">
        <v>98</v>
      </c>
      <c r="C51" s="25" t="s">
        <v>128</v>
      </c>
      <c r="D51" s="25" t="s">
        <v>100</v>
      </c>
      <c r="E51" s="25" t="s">
        <v>94</v>
      </c>
      <c r="F51" s="25" t="s">
        <v>129</v>
      </c>
      <c r="G51" s="25" t="s">
        <v>130</v>
      </c>
      <c r="H51" s="25" t="s">
        <v>126</v>
      </c>
      <c r="I51" s="25">
        <v>1101739</v>
      </c>
      <c r="P51" s="25">
        <v>1101739</v>
      </c>
      <c r="T51" s="76"/>
      <c r="U51" s="76"/>
      <c r="V51" s="76"/>
      <c r="W51" s="76"/>
      <c r="X51" s="76"/>
      <c r="Y51" s="76"/>
      <c r="Z51" s="76"/>
      <c r="AA51" s="76"/>
      <c r="AB51" s="76"/>
      <c r="AC51" s="76"/>
      <c r="AD51" s="76"/>
      <c r="AE51" s="76"/>
      <c r="AF51" s="76"/>
      <c r="AG51" s="76"/>
      <c r="AH51" s="76"/>
      <c r="AM51" s="9"/>
      <c r="AN51" s="9"/>
      <c r="AO51" s="9"/>
      <c r="AP51" s="9"/>
    </row>
    <row r="52" spans="1:42" x14ac:dyDescent="0.25">
      <c r="A52" s="25" t="s">
        <v>129</v>
      </c>
      <c r="B52" s="25" t="s">
        <v>165</v>
      </c>
      <c r="C52" s="25" t="s">
        <v>166</v>
      </c>
      <c r="D52" s="25" t="s">
        <v>100</v>
      </c>
      <c r="E52" s="25" t="s">
        <v>94</v>
      </c>
      <c r="F52" s="25" t="s">
        <v>129</v>
      </c>
      <c r="G52" s="25" t="s">
        <v>146</v>
      </c>
      <c r="H52" s="25" t="s">
        <v>167</v>
      </c>
      <c r="I52" s="25">
        <v>962542</v>
      </c>
      <c r="J52" s="25">
        <v>962542</v>
      </c>
      <c r="AM52" s="9"/>
      <c r="AN52" s="9"/>
      <c r="AO52" s="9"/>
      <c r="AP52" s="9"/>
    </row>
    <row r="53" spans="1:42" x14ac:dyDescent="0.25">
      <c r="A53" s="25" t="s">
        <v>129</v>
      </c>
      <c r="B53" s="25" t="s">
        <v>165</v>
      </c>
      <c r="C53" s="25" t="s">
        <v>168</v>
      </c>
      <c r="D53" s="25" t="s">
        <v>100</v>
      </c>
      <c r="E53" s="25" t="s">
        <v>94</v>
      </c>
      <c r="F53" s="25" t="s">
        <v>129</v>
      </c>
      <c r="G53" s="25" t="s">
        <v>157</v>
      </c>
      <c r="H53" s="25" t="s">
        <v>167</v>
      </c>
      <c r="I53" s="25">
        <v>152002</v>
      </c>
      <c r="J53" s="25">
        <v>152002</v>
      </c>
      <c r="AM53" s="9"/>
      <c r="AN53" s="9"/>
      <c r="AO53" s="9"/>
      <c r="AP53" s="9"/>
    </row>
    <row r="54" spans="1:42" x14ac:dyDescent="0.25">
      <c r="A54" s="25" t="s">
        <v>129</v>
      </c>
      <c r="B54" s="25" t="s">
        <v>139</v>
      </c>
      <c r="C54" s="25" t="s">
        <v>166</v>
      </c>
      <c r="D54" s="25" t="s">
        <v>94</v>
      </c>
      <c r="E54" s="25" t="s">
        <v>100</v>
      </c>
      <c r="F54" s="25" t="s">
        <v>129</v>
      </c>
      <c r="G54" s="25" t="s">
        <v>146</v>
      </c>
      <c r="H54" s="25" t="s">
        <v>169</v>
      </c>
      <c r="I54" s="25">
        <v>-1069491</v>
      </c>
      <c r="P54" s="25">
        <v>-1069491</v>
      </c>
      <c r="AM54" s="9"/>
      <c r="AN54" s="9"/>
      <c r="AO54" s="9"/>
      <c r="AP54" s="9"/>
    </row>
    <row r="55" spans="1:42" x14ac:dyDescent="0.25">
      <c r="A55" s="25" t="s">
        <v>129</v>
      </c>
      <c r="B55" s="25" t="s">
        <v>139</v>
      </c>
      <c r="C55" s="25" t="s">
        <v>168</v>
      </c>
      <c r="D55" s="25" t="s">
        <v>94</v>
      </c>
      <c r="E55" s="25" t="s">
        <v>100</v>
      </c>
      <c r="F55" s="25" t="s">
        <v>129</v>
      </c>
      <c r="G55" s="25" t="s">
        <v>157</v>
      </c>
      <c r="H55" s="25" t="s">
        <v>170</v>
      </c>
      <c r="I55" s="25">
        <v>-168891</v>
      </c>
      <c r="O55" s="25">
        <v>-168891</v>
      </c>
      <c r="AM55" s="9"/>
      <c r="AN55" s="9"/>
      <c r="AO55" s="9"/>
      <c r="AP55" s="9"/>
    </row>
    <row r="56" spans="1:42" x14ac:dyDescent="0.25">
      <c r="A56" s="25" t="s">
        <v>104</v>
      </c>
      <c r="B56" s="25" t="s">
        <v>98</v>
      </c>
      <c r="C56" s="25" t="s">
        <v>158</v>
      </c>
      <c r="D56" s="25" t="s">
        <v>100</v>
      </c>
      <c r="E56" s="25" t="s">
        <v>94</v>
      </c>
      <c r="F56" s="25" t="s">
        <v>104</v>
      </c>
      <c r="G56" s="25" t="s">
        <v>159</v>
      </c>
      <c r="H56" s="25" t="s">
        <v>160</v>
      </c>
      <c r="I56" s="25">
        <v>194712</v>
      </c>
      <c r="O56" s="25">
        <v>194712</v>
      </c>
      <c r="AM56" s="9"/>
      <c r="AN56" s="9"/>
      <c r="AO56" s="9"/>
      <c r="AP56" s="9"/>
    </row>
    <row r="57" spans="1:42" x14ac:dyDescent="0.25">
      <c r="A57" s="163" t="s">
        <v>104</v>
      </c>
      <c r="B57" s="163" t="s">
        <v>98</v>
      </c>
      <c r="C57" s="163" t="s">
        <v>202</v>
      </c>
      <c r="D57" s="163" t="s">
        <v>100</v>
      </c>
      <c r="E57" s="163" t="s">
        <v>94</v>
      </c>
      <c r="F57" s="163" t="s">
        <v>104</v>
      </c>
      <c r="G57" s="163" t="s">
        <v>203</v>
      </c>
      <c r="H57" s="163" t="s">
        <v>126</v>
      </c>
      <c r="I57" s="163">
        <v>61559.01</v>
      </c>
      <c r="J57" s="163"/>
      <c r="K57" s="163"/>
      <c r="L57" s="163"/>
      <c r="M57" s="163"/>
      <c r="N57" s="163">
        <v>61559.01</v>
      </c>
      <c r="O57" s="163"/>
      <c r="P57" s="163"/>
      <c r="Q57" s="163"/>
      <c r="R57" s="163"/>
      <c r="S57" s="163"/>
      <c r="AM57" s="9"/>
      <c r="AN57" s="9"/>
      <c r="AO57" s="9"/>
      <c r="AP57" s="9"/>
    </row>
    <row r="58" spans="1:42" x14ac:dyDescent="0.25">
      <c r="A58" s="163" t="s">
        <v>104</v>
      </c>
      <c r="B58" s="163" t="s">
        <v>99</v>
      </c>
      <c r="C58" s="163" t="s">
        <v>102</v>
      </c>
      <c r="D58" s="163" t="s">
        <v>94</v>
      </c>
      <c r="E58" s="163" t="s">
        <v>103</v>
      </c>
      <c r="F58" s="163" t="s">
        <v>104</v>
      </c>
      <c r="G58" s="163"/>
      <c r="H58" s="163" t="s">
        <v>106</v>
      </c>
      <c r="I58" s="163">
        <v>-185000</v>
      </c>
      <c r="J58" s="163"/>
      <c r="K58" s="163"/>
      <c r="L58" s="163"/>
      <c r="M58" s="163"/>
      <c r="N58" s="163"/>
      <c r="O58" s="163">
        <v>-185000</v>
      </c>
      <c r="P58" s="163"/>
      <c r="Q58" s="163"/>
      <c r="R58" s="163"/>
      <c r="S58" s="163"/>
      <c r="AM58" s="9"/>
      <c r="AN58" s="9"/>
      <c r="AO58" s="9"/>
      <c r="AP58" s="9"/>
    </row>
    <row r="59" spans="1:42" x14ac:dyDescent="0.25">
      <c r="AM59" s="9"/>
      <c r="AN59" s="9"/>
      <c r="AO59" s="9"/>
      <c r="AP59" s="9"/>
    </row>
  </sheetData>
  <mergeCells count="5">
    <mergeCell ref="A1:F1"/>
    <mergeCell ref="A3:F3"/>
    <mergeCell ref="A9:G9"/>
    <mergeCell ref="A34:G3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08" t="s">
        <v>14</v>
      </c>
      <c r="C1" s="208"/>
      <c r="D1" s="208"/>
      <c r="E1" s="208"/>
    </row>
    <row r="2" spans="1:5" ht="81.75" customHeight="1" x14ac:dyDescent="0.35">
      <c r="A2" s="1">
        <v>1</v>
      </c>
      <c r="B2" s="201" t="s">
        <v>16</v>
      </c>
      <c r="C2" s="201"/>
      <c r="D2" s="201"/>
      <c r="E2" s="201"/>
    </row>
    <row r="3" spans="1:5" ht="14.45" x14ac:dyDescent="0.35">
      <c r="B3" s="3"/>
      <c r="C3" s="3"/>
      <c r="D3" s="3"/>
      <c r="E3" s="3"/>
    </row>
    <row r="4" spans="1:5" ht="33" customHeight="1" x14ac:dyDescent="0.35">
      <c r="A4" s="1">
        <v>2</v>
      </c>
      <c r="B4" s="201" t="s">
        <v>17</v>
      </c>
      <c r="C4" s="201"/>
      <c r="D4" s="201"/>
      <c r="E4" s="201"/>
    </row>
    <row r="5" spans="1:5" ht="14.45" x14ac:dyDescent="0.35">
      <c r="B5" s="3"/>
      <c r="C5" s="3"/>
      <c r="D5" s="3"/>
      <c r="E5" s="3"/>
    </row>
    <row r="6" spans="1:5" s="17" customFormat="1" ht="114" customHeight="1" x14ac:dyDescent="0.25">
      <c r="A6" s="18">
        <v>3</v>
      </c>
      <c r="B6" s="202" t="s">
        <v>193</v>
      </c>
      <c r="C6" s="202"/>
      <c r="D6" s="202"/>
      <c r="E6" s="202"/>
    </row>
    <row r="7" spans="1:5" s="17" customFormat="1" ht="14.45" x14ac:dyDescent="0.35">
      <c r="A7" s="18"/>
      <c r="B7" s="19"/>
      <c r="C7" s="19"/>
      <c r="D7" s="19"/>
      <c r="E7" s="19"/>
    </row>
    <row r="8" spans="1:5" ht="18" customHeight="1" x14ac:dyDescent="0.3">
      <c r="A8" s="1">
        <v>4</v>
      </c>
      <c r="B8" s="205" t="s">
        <v>57</v>
      </c>
      <c r="C8" s="205"/>
      <c r="D8" s="8"/>
      <c r="E8" s="8"/>
    </row>
    <row r="9" spans="1:5" ht="18" customHeight="1" x14ac:dyDescent="0.3">
      <c r="B9" s="210" t="s">
        <v>188</v>
      </c>
      <c r="C9" s="210"/>
      <c r="D9" s="13">
        <v>175000</v>
      </c>
    </row>
    <row r="10" spans="1:5" ht="18" customHeight="1" x14ac:dyDescent="0.3">
      <c r="B10" s="201" t="s">
        <v>191</v>
      </c>
      <c r="C10" s="201"/>
      <c r="D10" s="12">
        <v>-43750</v>
      </c>
    </row>
    <row r="11" spans="1:5" ht="18" customHeight="1" x14ac:dyDescent="0.25">
      <c r="B11" s="210" t="s">
        <v>192</v>
      </c>
      <c r="C11" s="210"/>
      <c r="D11" s="14">
        <f>+D9+D10</f>
        <v>131250</v>
      </c>
    </row>
    <row r="12" spans="1:5" ht="31.5" customHeight="1" x14ac:dyDescent="0.25">
      <c r="B12" s="201" t="s">
        <v>189</v>
      </c>
      <c r="C12" s="201"/>
      <c r="D12" s="11">
        <v>43750</v>
      </c>
    </row>
    <row r="13" spans="1:5" ht="36.75" customHeight="1" x14ac:dyDescent="0.25">
      <c r="B13" s="210" t="s">
        <v>190</v>
      </c>
      <c r="C13" s="210"/>
      <c r="D13" s="15">
        <f>SUM(D11:D12)</f>
        <v>175000</v>
      </c>
    </row>
    <row r="14" spans="1:5" s="17" customFormat="1" ht="18" customHeight="1" x14ac:dyDescent="0.25">
      <c r="A14" s="18"/>
      <c r="B14" s="22"/>
      <c r="C14" s="22"/>
      <c r="D14" s="23"/>
    </row>
    <row r="15" spans="1:5" s="17" customFormat="1" ht="84.75" customHeight="1" x14ac:dyDescent="0.25">
      <c r="A15" s="1">
        <v>5</v>
      </c>
      <c r="B15" s="209" t="s">
        <v>58</v>
      </c>
      <c r="C15" s="209"/>
      <c r="D15" s="209"/>
      <c r="E15" s="209"/>
    </row>
    <row r="16" spans="1:5" x14ac:dyDescent="0.25">
      <c r="B16" s="3"/>
      <c r="C16" s="3"/>
      <c r="D16" s="3"/>
      <c r="E16" s="3"/>
    </row>
    <row r="17" spans="1:5" ht="14.45" customHeight="1" x14ac:dyDescent="0.25">
      <c r="A17" s="1">
        <v>6</v>
      </c>
      <c r="B17" s="201" t="s">
        <v>195</v>
      </c>
      <c r="C17" s="201"/>
      <c r="D17" s="201"/>
      <c r="E17" s="201"/>
    </row>
    <row r="18" spans="1:5" x14ac:dyDescent="0.25">
      <c r="B18" s="10"/>
      <c r="C18" s="10"/>
      <c r="D18" s="10"/>
      <c r="E18" s="10"/>
    </row>
    <row r="19" spans="1:5" ht="33" customHeight="1" x14ac:dyDescent="0.25">
      <c r="A19" s="1">
        <v>7</v>
      </c>
      <c r="B19" s="201" t="s">
        <v>37</v>
      </c>
      <c r="C19" s="201"/>
      <c r="D19" s="201"/>
      <c r="E19" s="201"/>
    </row>
    <row r="20" spans="1:5" ht="14.25" customHeight="1" x14ac:dyDescent="0.25">
      <c r="B20" s="7"/>
      <c r="C20" s="7"/>
      <c r="D20" s="7"/>
      <c r="E20" s="7"/>
    </row>
    <row r="21" spans="1:5" ht="47.25" customHeight="1" x14ac:dyDescent="0.25">
      <c r="A21" s="1">
        <v>8</v>
      </c>
      <c r="B21" s="201" t="s">
        <v>38</v>
      </c>
      <c r="C21" s="201"/>
      <c r="D21" s="201"/>
      <c r="E21" s="201"/>
    </row>
    <row r="22" spans="1:5" ht="15" customHeight="1" x14ac:dyDescent="0.25">
      <c r="B22" s="7"/>
      <c r="C22" s="7"/>
      <c r="D22" s="7"/>
      <c r="E22" s="7"/>
    </row>
    <row r="23" spans="1:5" ht="32.25" customHeight="1" x14ac:dyDescent="0.25">
      <c r="A23" s="1">
        <v>9</v>
      </c>
      <c r="B23" s="201" t="s">
        <v>36</v>
      </c>
      <c r="C23" s="201"/>
      <c r="D23" s="201"/>
      <c r="E23" s="201"/>
    </row>
    <row r="24" spans="1:5" ht="15" customHeight="1" x14ac:dyDescent="0.25">
      <c r="B24" s="7"/>
      <c r="C24" s="7"/>
      <c r="D24" s="7"/>
      <c r="E24" s="7"/>
    </row>
    <row r="25" spans="1:5" ht="33" customHeight="1" x14ac:dyDescent="0.25">
      <c r="A25" s="1">
        <v>10</v>
      </c>
      <c r="B25" s="201" t="s">
        <v>39</v>
      </c>
      <c r="C25" s="201"/>
      <c r="D25" s="201"/>
      <c r="E25" s="201"/>
    </row>
    <row r="26" spans="1:5" x14ac:dyDescent="0.25">
      <c r="B26" s="3"/>
      <c r="C26" s="3"/>
      <c r="D26" s="3"/>
      <c r="E26" s="3"/>
    </row>
    <row r="27" spans="1:5" ht="30" customHeight="1" x14ac:dyDescent="0.25">
      <c r="A27" s="1">
        <v>11</v>
      </c>
      <c r="B27" s="201" t="s">
        <v>40</v>
      </c>
      <c r="C27" s="201"/>
      <c r="D27" s="201"/>
      <c r="E27" s="201"/>
    </row>
    <row r="28" spans="1:5" x14ac:dyDescent="0.25">
      <c r="B28" s="3"/>
      <c r="C28" s="3"/>
      <c r="D28" s="3"/>
      <c r="E28" s="3"/>
    </row>
    <row r="29" spans="1:5" ht="31.5" customHeight="1" x14ac:dyDescent="0.25">
      <c r="A29" s="1">
        <v>12</v>
      </c>
      <c r="B29" s="201" t="s">
        <v>41</v>
      </c>
      <c r="C29" s="201"/>
      <c r="D29" s="201"/>
      <c r="E29" s="201"/>
    </row>
    <row r="30" spans="1:5" x14ac:dyDescent="0.25">
      <c r="B30" s="7"/>
      <c r="C30" s="7"/>
      <c r="D30" s="7"/>
      <c r="E30" s="7"/>
    </row>
    <row r="31" spans="1:5" ht="34.5" customHeight="1" x14ac:dyDescent="0.25">
      <c r="A31" s="1">
        <v>13</v>
      </c>
      <c r="B31" s="201" t="s">
        <v>18</v>
      </c>
      <c r="C31" s="201"/>
      <c r="D31" s="201"/>
      <c r="E31" s="201"/>
    </row>
    <row r="32" spans="1:5" ht="16.5" customHeight="1" x14ac:dyDescent="0.25">
      <c r="B32" s="3"/>
      <c r="C32" s="3"/>
      <c r="D32" s="3"/>
      <c r="E32" s="3"/>
    </row>
    <row r="33" spans="1:5" ht="64.5" customHeight="1" x14ac:dyDescent="0.25">
      <c r="A33" s="1">
        <v>14</v>
      </c>
      <c r="B33" s="201" t="s">
        <v>19</v>
      </c>
      <c r="C33" s="201"/>
      <c r="D33" s="201"/>
      <c r="E33" s="201"/>
    </row>
    <row r="34" spans="1:5" ht="14.25" customHeight="1" x14ac:dyDescent="0.25">
      <c r="B34" s="3"/>
      <c r="C34" s="3"/>
      <c r="D34" s="3"/>
      <c r="E34" s="3"/>
    </row>
    <row r="35" spans="1:5" x14ac:dyDescent="0.25">
      <c r="A35" s="1">
        <v>15</v>
      </c>
      <c r="B35" s="205" t="s">
        <v>33</v>
      </c>
      <c r="C35" s="205"/>
      <c r="D35" s="205"/>
      <c r="E35" s="205"/>
    </row>
    <row r="36" spans="1:5" x14ac:dyDescent="0.25">
      <c r="B36" s="16" t="s">
        <v>7</v>
      </c>
      <c r="C36" s="206" t="s">
        <v>20</v>
      </c>
      <c r="D36" s="206"/>
      <c r="E36" s="206"/>
    </row>
    <row r="37" spans="1:5" x14ac:dyDescent="0.25">
      <c r="B37" s="5" t="s">
        <v>21</v>
      </c>
      <c r="C37" s="207" t="s">
        <v>28</v>
      </c>
      <c r="D37" s="207"/>
      <c r="E37" s="207"/>
    </row>
    <row r="38" spans="1:5" x14ac:dyDescent="0.25">
      <c r="B38" s="16" t="s">
        <v>22</v>
      </c>
      <c r="C38" s="206" t="s">
        <v>29</v>
      </c>
      <c r="D38" s="206"/>
      <c r="E38" s="206"/>
    </row>
    <row r="39" spans="1:5" x14ac:dyDescent="0.25">
      <c r="B39" s="5" t="s">
        <v>23</v>
      </c>
      <c r="C39" s="207" t="s">
        <v>32</v>
      </c>
      <c r="D39" s="207"/>
      <c r="E39" s="207"/>
    </row>
    <row r="40" spans="1:5" x14ac:dyDescent="0.25">
      <c r="B40" s="16" t="s">
        <v>9</v>
      </c>
      <c r="C40" s="206" t="s">
        <v>30</v>
      </c>
      <c r="D40" s="206"/>
      <c r="E40" s="206"/>
    </row>
    <row r="41" spans="1:5" x14ac:dyDescent="0.25">
      <c r="B41" s="5" t="s">
        <v>8</v>
      </c>
      <c r="C41" s="207" t="s">
        <v>24</v>
      </c>
      <c r="D41" s="207"/>
      <c r="E41" s="207"/>
    </row>
    <row r="42" spans="1:5" x14ac:dyDescent="0.25">
      <c r="B42" s="16" t="s">
        <v>25</v>
      </c>
      <c r="C42" s="206" t="s">
        <v>26</v>
      </c>
      <c r="D42" s="206"/>
      <c r="E42" s="206"/>
    </row>
    <row r="43" spans="1:5" x14ac:dyDescent="0.25">
      <c r="B43" s="5" t="s">
        <v>27</v>
      </c>
      <c r="C43" s="207" t="s">
        <v>31</v>
      </c>
      <c r="D43" s="207"/>
      <c r="E43" s="207"/>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206" t="s">
        <v>66</v>
      </c>
      <c r="D46" s="206"/>
      <c r="E46" s="206"/>
    </row>
    <row r="47" spans="1:5" s="17" customFormat="1" x14ac:dyDescent="0.25">
      <c r="A47" s="18"/>
      <c r="B47" s="20" t="s">
        <v>50</v>
      </c>
      <c r="C47" s="207" t="s">
        <v>65</v>
      </c>
      <c r="D47" s="207"/>
      <c r="E47" s="207"/>
    </row>
    <row r="48" spans="1:5" s="17" customFormat="1" ht="48.75" customHeight="1" x14ac:dyDescent="0.25">
      <c r="A48" s="18"/>
      <c r="B48" s="16" t="s">
        <v>51</v>
      </c>
      <c r="C48" s="206" t="s">
        <v>68</v>
      </c>
      <c r="D48" s="206"/>
      <c r="E48" s="206"/>
    </row>
    <row r="49" spans="1:5" s="17" customFormat="1" ht="29.25" customHeight="1" x14ac:dyDescent="0.25">
      <c r="A49" s="18"/>
      <c r="B49" s="20" t="s">
        <v>52</v>
      </c>
      <c r="C49" s="207" t="s">
        <v>67</v>
      </c>
      <c r="D49" s="207"/>
      <c r="E49" s="207"/>
    </row>
    <row r="50" spans="1:5" x14ac:dyDescent="0.25">
      <c r="B50" s="5"/>
      <c r="C50" s="6"/>
      <c r="D50" s="6"/>
      <c r="E50" s="6"/>
    </row>
    <row r="51" spans="1:5" ht="94.5" customHeight="1" x14ac:dyDescent="0.25">
      <c r="A51" s="1">
        <v>17</v>
      </c>
      <c r="B51" s="204" t="s">
        <v>194</v>
      </c>
      <c r="C51" s="204"/>
      <c r="D51" s="204"/>
      <c r="E51" s="204"/>
    </row>
    <row r="53" spans="1:5" x14ac:dyDescent="0.25">
      <c r="B53" s="2"/>
    </row>
    <row r="54" spans="1:5" x14ac:dyDescent="0.25">
      <c r="A54" s="203" t="s">
        <v>34</v>
      </c>
      <c r="B54" s="203"/>
      <c r="C54" s="203"/>
      <c r="D54" s="203"/>
      <c r="E54" s="203"/>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2018-01-29T14:54:40Z</cp:lastPrinted>
  <dcterms:created xsi:type="dcterms:W3CDTF">2013-05-11T20:19:37Z</dcterms:created>
  <dcterms:modified xsi:type="dcterms:W3CDTF">2019-04-30T15:38:58Z</dcterms:modified>
</cp:coreProperties>
</file>