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Transactions'!$A$15:$T$24</definedName>
    <definedName name="Query_from_MS_Access_Database" localSheetId="1" hidden="1">'Regional Loans and Transfers'!$A$11:$T$33</definedName>
    <definedName name="Query_from_MS_Access_Database_1" localSheetId="0" hidden="1">'Federal Funds Transactions'!$A$29:$T$32</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U16" i="1"/>
  <c r="U17" i="1"/>
  <c r="U18" i="1"/>
  <c r="U19" i="1"/>
  <c r="U20" i="1"/>
  <c r="V20" i="1" s="1"/>
  <c r="V21" i="1" s="1"/>
  <c r="V22" i="1" s="1"/>
  <c r="V23" i="1" s="1"/>
  <c r="V24" i="1" s="1"/>
  <c r="U21" i="1"/>
  <c r="U22" i="1"/>
  <c r="U23" i="1"/>
  <c r="U24" i="1"/>
  <c r="I30" i="1"/>
  <c r="I31" i="1"/>
  <c r="I32" i="1"/>
  <c r="U30" i="1"/>
  <c r="V30" i="1" s="1"/>
  <c r="V31" i="1" s="1"/>
  <c r="U31" i="1"/>
  <c r="U32" i="1"/>
  <c r="V32" i="1" s="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25" i="1" l="1"/>
  <c r="O25" i="1"/>
  <c r="P25" i="1"/>
  <c r="Q25" i="1"/>
  <c r="R25" i="1"/>
  <c r="S25" i="1"/>
  <c r="T25" i="1"/>
  <c r="N33" i="1"/>
  <c r="O33" i="1"/>
  <c r="P33" i="1"/>
  <c r="Q33" i="1"/>
  <c r="R33" i="1"/>
  <c r="S33" i="1"/>
  <c r="T33" i="1"/>
  <c r="Q35" i="1" l="1"/>
  <c r="T35" i="1"/>
  <c r="P35" i="1"/>
  <c r="S35" i="1"/>
  <c r="O35" i="1"/>
  <c r="R35" i="1"/>
  <c r="N35" i="1"/>
  <c r="U40" i="1"/>
  <c r="U11" i="1" l="1"/>
  <c r="U7" i="1"/>
  <c r="U9" i="1"/>
  <c r="U8" i="1"/>
  <c r="U10" i="1"/>
  <c r="U25" i="1"/>
  <c r="N12" i="1"/>
  <c r="N26" i="1" s="1"/>
  <c r="U6" i="1"/>
  <c r="U33" i="1" l="1"/>
  <c r="U35" i="1" s="1"/>
  <c r="S12" i="1" l="1"/>
  <c r="S26" i="1" s="1"/>
  <c r="S34" i="1" s="1"/>
  <c r="R12" i="1"/>
  <c r="R26" i="1" s="1"/>
  <c r="R34" i="1" s="1"/>
  <c r="V40" i="1" l="1"/>
  <c r="Q5" i="1" l="1"/>
  <c r="U5" i="1" l="1"/>
  <c r="V5" i="1" s="1"/>
  <c r="D11" i="2"/>
  <c r="D13" i="2" s="1"/>
  <c r="B5" i="3" l="1"/>
  <c r="R39" i="1" l="1"/>
  <c r="R41" i="1" l="1"/>
  <c r="R42" i="1"/>
  <c r="P12" i="1"/>
  <c r="P26" i="1" l="1"/>
  <c r="P34" i="1" s="1"/>
  <c r="A7" i="3"/>
  <c r="Q12" i="1" l="1"/>
  <c r="P39" i="1" l="1"/>
  <c r="P41" i="1" s="1"/>
  <c r="Q26" i="1"/>
  <c r="Q34" i="1" s="1"/>
  <c r="Q39" i="1" s="1"/>
  <c r="P42" i="1" l="1"/>
  <c r="Q42" i="1"/>
  <c r="Q41" i="1"/>
  <c r="A1" i="3"/>
  <c r="O12" i="1" l="1"/>
  <c r="O26" i="1" s="1"/>
  <c r="O34" i="1" s="1"/>
  <c r="O39" i="1" s="1"/>
  <c r="O41" i="1" l="1"/>
  <c r="O42" i="1"/>
  <c r="T12" i="1"/>
  <c r="S39" i="1" l="1"/>
  <c r="S41" i="1" s="1"/>
  <c r="T26" i="1"/>
  <c r="T34" i="1" s="1"/>
  <c r="T39" i="1" s="1"/>
  <c r="N34" i="1"/>
  <c r="N39" i="1" s="1"/>
  <c r="U12" i="1"/>
  <c r="U26" i="1" s="1"/>
  <c r="U34" i="1" s="1"/>
  <c r="V12" i="1"/>
  <c r="V16" i="1" s="1"/>
  <c r="V17" i="1" s="1"/>
  <c r="V18" i="1" l="1"/>
  <c r="V19" i="1" s="1"/>
  <c r="U39" i="1"/>
  <c r="S42" i="1"/>
  <c r="T42" i="1"/>
  <c r="T41" i="1"/>
  <c r="N42" i="1"/>
  <c r="N41" i="1"/>
  <c r="U41" i="1" l="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<sst xmlns="http://schemas.openxmlformats.org/spreadsheetml/2006/main" count="600" uniqueCount="214">
  <si>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</si>
  <si>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</si>
  <si>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</si>
  <si>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</si>
  <si>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</si>
  <si>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</si>
  <si>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</si>
  <si>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</si>
  <si>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</si>
  <si>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</si>
  <si>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</si>
  <si>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</si>
  <si>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</si>
  <si>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</si>
  <si>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</si>
  <si>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</si>
  <si>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</si>
  <si>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</si>
  <si>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</si>
  <si>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</si>
  <si>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</si>
  <si>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</si>
  <si>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</si>
  <si>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</si>
  <si>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</si>
  <si>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</si>
  <si>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</si>
  <si>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</si>
  <si>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</si>
  <si>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</si>
  <si>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</si>
  <si>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</si>
  <si>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</si>
  <si>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</si>
  <si>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</si>
  <si>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</si>
  <si>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</si>
  <si>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</si>
  <si>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</si>
  <si>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</si>
  <si>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</si>
  <si>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</si>
  <si>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</si>
  <si>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</si>
  <si>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</si>
  <si>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</si>
  <si>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</si>
  <si>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</si>
  <si>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</si>
  <si>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</si>
  <si>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</si>
  <si>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</si>
  <si>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</si>
  <si>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</si>
  <si>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</si>
  <si>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</si>
  <si>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</si>
  <si>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</si>
  <si>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</si>
  <si>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</si>
  <si>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</si>
  <si>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</si>
  <si>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</si>
  <si>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</si>
  <si>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</si>
  <si>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</si>
  <si>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</si>
  <si>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</si>
  <si>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</si>
  <si>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</si>
  <si>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</si>
  <si>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</si>
  <si>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</si>
  <si>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</si>
  <si>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</si>
  <si>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</si>
  <si>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</si>
  <si>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</si>
  <si>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</si>
  <si>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</si>
  <si>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</si>
  <si>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</si>
  <si>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</si>
  <si>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</si>
  <si>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</si>
  <si>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</si>
  <si>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</si>
  <si>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</si>
  <si>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</si>
  <si>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</si>
  <si>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</si>
  <si>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</si>
  <si>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</si>
  <si>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</si>
  <si>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</si>
  <si>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</si>
  <si>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</si>
  <si>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</si>
  <si>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</si>
  <si>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</si>
  <si>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</si>
  <si>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</si>
  <si>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</si>
  <si>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</si>
  <si>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</si>
  <si>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</si>
  <si>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</si>
  <si>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</si>
  <si>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</si>
  <si>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</si>
  <si>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</si>
  <si>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</si>
  <si>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</si>
  <si>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</si>
  <si>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</si>
  <si>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</si>
  <si>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</si>
  <si>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</si>
  <si>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</si>
  <si>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</si>
  <si>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</si>
  <si>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</si>
  <si>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</si>
  <si>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</si>
  <si>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</si>
  <si>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</si>
  <si>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</si>
  <si>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</si>
  <si>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</si>
  <si>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</si>
  <si>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</si>
  <si>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</si>
  <si>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</si>
  <si>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</si>
  <si>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</si>
  <si>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</si>
  <si>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</si>
  <si>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</si>
  <si>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</si>
  <si>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</si>
  <si>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</si>
  <si>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</si>
  <si>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</si>
  <si>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</si>
  <si>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</si>
  <si>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</si>
  <si>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</si>
  <si>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</si>
  <si>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</si>
  <si>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</si>
  <si>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</si>
  <si>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</si>
  <si>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</si>
  <si>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</si>
  <si>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</si>
  <si>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</si>
  <si>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</si>
  <si>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</si>
  <si>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</si>
  <si>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</si>
  <si>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</si>
  <si>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</si>
  <si>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</si>
  <si>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</si>
  <si>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</si>
  <si>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</si>
  <si>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</si>
  <si>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</si>
  <si>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</si>
  <si>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</si>
  <si>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</si>
  <si>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</si>
  <si>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</si>
  <si>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</si>
  <si>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</si>
  <si>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</si>
  <si>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</si>
  <si>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</si>
  <si>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</si>
  <si>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</si>
  <si>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</si>
  <si>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</si>
  <si>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</si>
  <si>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</si>
  <si>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</si>
  <si>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</si>
  <si>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</si>
  <si>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</si>
  <si>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</si>
  <si>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</si>
  <si>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</si>
  <si>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</si>
  <si>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</si>
  <si>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</si>
  <si>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</si>
  <si>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</si>
  <si>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</si>
  <si>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</si>
  <si>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</si>
  <si>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</si>
  <si>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</si>
  <si>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</si>
  <si>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</si>
  <si>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</si>
  <si>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</si>
  <si>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</si>
  <si>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</si>
  <si>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</si>
  <si>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</si>
  <si>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PYM1802P</t>
  </si>
  <si>
    <t>YMPO 2018 WP - PL</t>
  </si>
  <si>
    <t>018</t>
  </si>
  <si>
    <t>PYM1801P</t>
  </si>
  <si>
    <t>YMPO 2018 WP - SPR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</si>
</sst>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4" tableType="queryTable" totalsRowShown="0" headerRowDxfId="94" dataDxfId="93" tableBorderDxfId="92">
  <autoFilter ref="A15:V24"/>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3" uniqueName="23" name="Fed #" queryTableFieldId="23"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1" uniqueName="21" name="TOTAL OF AMOUNT" queryTableFieldId="21" dataDxfId="41">
      <calculatedColumnFormula>SUM(Table_Query_from_MS_Access_Database8[[#This Row],[HURF EX]:[STP OTHER]])</calculatedColumnFormula>
    </tableColumn>
    <tableColumn id="22" uniqueName="22"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V32" tableType="queryTable" totalsRowShown="0" headerRowDxfId="91" dataDxfId="90">
  <autoFilter ref="A29:V32"/>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77"/>
    <tableColumn id="6" uniqueName="6" name="RTE" queryTableFieldId="6" dataDxfId="85"/>
    <tableColumn id="7" uniqueName="7" name="SEC" queryTableFieldId="7" dataDxfId="76"/>
    <tableColumn id="8" uniqueName="8" name="SEQ" queryTableFieldId="8" dataDxfId="75"/>
    <tableColumn id="23" uniqueName="23" name="Fed #" queryTableFieldId="23"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1" uniqueName="21" name="TOTAL OF AMOUNT" queryTableFieldId="21" dataDxfId="62">
      <calculatedColumnFormula>SUM(Table_Query_from_MS_Access_Database_1[[#This Row],[HURF EX]:[STP OTHER]])</calculatedColumnFormula>
    </tableColumn>
    <tableColumn id="22" uniqueName="22" name="EXPECTED DECLINING BALANCE OA" queryTableFieldId="20" dataDxfId="0">
      <calculatedColumnFormula>V24-Table_Query_from_MS_Access_Database_1[TOTAL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84" headerRowBorderDxfId="83" tableBorderDxfId="82" totalsRowBorderDxfId="81" headerRowCellStyle="Comma" dataCellStyle="Comma">
  <autoFilter ref="A11:T33"/>
  <tableColumns count="20">
    <tableColumn id="7" uniqueName="7" name="Transaction Year" queryTableFieldId="1" dataDxfId="20" dataCellStyle="Comma"/>
    <tableColumn id="8" uniqueName="8" name="Transaction Type" queryTableFieldId="2" dataDxfId="19" dataCellStyle="Comma"/>
    <tableColumn id="9" uniqueName="9" name="Number" queryTableFieldId="3" dataDxfId="18" dataCellStyle="Comma"/>
    <tableColumn id="10" uniqueName="10" name="From" queryTableFieldId="4" dataDxfId="17" dataCellStyle="Comma"/>
    <tableColumn id="11" uniqueName="11" name="To" queryTableFieldId="5" dataDxfId="16" dataCellStyle="Comma"/>
    <tableColumn id="12" uniqueName="12" name="Repayment Year" queryTableFieldId="6" dataDxfId="15" dataCellStyle="Comma"/>
    <tableColumn id="13" uniqueName="13" name="Project8" queryTableFieldId="7" dataDxfId="14" dataCellStyle="Comma"/>
    <tableColumn id="14" uniqueName="14" name="Notes" queryTableFieldId="8" dataDxfId="13" dataCellStyle="Comma"/>
    <tableColumn id="15" uniqueName="15" name="Total" queryTableFieldId="9" dataDxfId="12" dataCellStyle="Comma"/>
    <tableColumn id="16" uniqueName="16" name="HURF EXCHANGE" queryTableFieldId="10" dataDxfId="11" dataCellStyle="Comma"/>
    <tableColumn id="17" uniqueName="17" name="HSIP" queryTableFieldId="11" dataDxfId="10" dataCellStyle="Comma"/>
    <tableColumn id="18" uniqueName="18" name="PLAN" queryTableFieldId="12" dataDxfId="9" dataCellStyle="Comma"/>
    <tableColumn id="19" uniqueName="19" name="SPR" queryTableFieldId="13" dataDxfId="8" dataCellStyle="Comma"/>
    <tableColumn id="20" uniqueName="20" name="STP &lt;5" queryTableFieldId="14" dataDxfId="7" dataCellStyle="Comma"/>
    <tableColumn id="21" uniqueName="21" name="STP 5-2" queryTableFieldId="15" dataDxfId="6" dataCellStyle="Comma"/>
    <tableColumn id="22" uniqueName="22" name="STP Flex" queryTableFieldId="16" dataDxfId="5" dataCellStyle="Comma"/>
    <tableColumn id="23" uniqueName="23" name="TAP &lt;5" queryTableFieldId="17" dataDxfId="4" dataCellStyle="Comma"/>
    <tableColumn id="24" uniqueName="24" name="TAP 5-2" queryTableFieldId="18" dataDxfId="3" dataCellStyle="Comma"/>
    <tableColumn id="26" uniqueName="26" name="TAP 5-3" queryTableFieldId="20" dataDxfId="2" dataCellStyle="Comma"/>
    <tableColumn id="25" uniqueName="25"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80" dataDxfId="79" tableBorderDxfId="78" headerRowCellStyle="Comma" dataCellStyle="Comma">
  <autoFilter ref="A36:S58"/>
  <tableColumns count="19">
    <tableColumn id="2" uniqueName="2" name="Transaction Year" queryTableFieldId="1" dataDxfId="39" dataCellStyle="Comma"/>
    <tableColumn id="3" uniqueName="3" name="Transaction Type" queryTableFieldId="2" dataDxfId="38" dataCellStyle="Comma"/>
    <tableColumn id="4" uniqueName="4" name="Number" queryTableFieldId="3" dataDxfId="37" dataCellStyle="Comma"/>
    <tableColumn id="5" uniqueName="5" name="From" queryTableFieldId="4" dataDxfId="36" dataCellStyle="Comma"/>
    <tableColumn id="6" uniqueName="6" name="To" queryTableFieldId="5" dataDxfId="35" dataCellStyle="Comma"/>
    <tableColumn id="7" uniqueName="7" name="Repayment Year" queryTableFieldId="6" dataDxfId="34" dataCellStyle="Comma"/>
    <tableColumn id="8" uniqueName="8" name="Project8" queryTableFieldId="7" dataDxfId="33" dataCellStyle="Comma"/>
    <tableColumn id="9" uniqueName="9" name="Notes" queryTableFieldId="8" dataDxfId="32" dataCellStyle="Comma"/>
    <tableColumn id="10" uniqueName="10" name="Total" queryTableFieldId="9" dataDxfId="31" dataCellStyle="Comma"/>
    <tableColumn id="11" uniqueName="11" name="HURF EXCHANGE" queryTableFieldId="10" dataDxfId="30" dataCellStyle="Comma"/>
    <tableColumn id="12" uniqueName="12" name="HSIP" queryTableFieldId="11" dataDxfId="29" dataCellStyle="Comma"/>
    <tableColumn id="13" uniqueName="13" name="PLAN" queryTableFieldId="12" dataDxfId="28" dataCellStyle="Comma"/>
    <tableColumn id="14" uniqueName="14" name="SPR" queryTableFieldId="13" dataDxfId="27" dataCellStyle="Comma"/>
    <tableColumn id="15" uniqueName="15" name="STP &lt;5" queryTableFieldId="14" dataDxfId="26" dataCellStyle="Comma"/>
    <tableColumn id="16" uniqueName="16" name="STP 5-2" queryTableFieldId="15" dataDxfId="25" dataCellStyle="Comma"/>
    <tableColumn id="17" uniqueName="17" name="STP Flex" queryTableFieldId="16" dataDxfId="24" dataCellStyle="Comma"/>
    <tableColumn id="18" uniqueName="18" name="TAP &lt;5" queryTableFieldId="17" dataDxfId="23" dataCellStyle="Comma"/>
    <tableColumn id="19" uniqueName="19" name="TAP 5-2" queryTableFieldId="18" dataDxfId="22" dataCellStyle="Comma"/>
    <tableColumn id="20" uniqueName="20"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tabSelected="1" topLeftCell="E7" zoomScale="90" zoomScaleNormal="90" zoomScaleSheetLayoutView="115" workbookViewId="0">
      <selection activeCell="V35" sqref="V3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71" t="s">
        <v>93</v>
      </c>
      <c r="B1" s="171"/>
      <c r="C1" s="171"/>
      <c r="D1" s="171"/>
      <c r="E1" s="171"/>
      <c r="F1" s="171"/>
      <c r="J1" s="34"/>
      <c r="K1" s="35"/>
      <c r="L1" s="34"/>
      <c r="M1" s="56"/>
      <c r="N1" s="181" t="s">
        <v>78</v>
      </c>
      <c r="O1" s="181"/>
      <c r="P1" s="181"/>
      <c r="Q1" s="181"/>
      <c r="R1" s="181"/>
      <c r="S1" s="181"/>
      <c r="T1" s="181"/>
      <c r="U1" s="181"/>
    </row>
    <row r="2" spans="1:22" ht="17.25" customHeight="1" thickBot="1" x14ac:dyDescent="0.3">
      <c r="J2" s="34"/>
      <c r="K2" s="34"/>
      <c r="L2" s="34"/>
      <c r="M2" s="56"/>
      <c r="N2" s="178" t="s">
        <v>12</v>
      </c>
      <c r="O2" s="179"/>
      <c r="P2" s="179"/>
      <c r="Q2" s="179"/>
      <c r="R2" s="179"/>
      <c r="S2" s="179"/>
      <c r="T2" s="179"/>
      <c r="U2" s="180"/>
    </row>
    <row r="3" spans="1:22" ht="27.6" customHeight="1" x14ac:dyDescent="0.25">
      <c r="A3" s="174" t="s">
        <v>81</v>
      </c>
      <c r="B3" s="174"/>
      <c r="C3" s="174"/>
      <c r="D3" s="174"/>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73" t="s">
        <v>171</v>
      </c>
      <c r="B4" s="173"/>
      <c r="C4" s="173"/>
      <c r="D4" s="173"/>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43465</v>
      </c>
      <c r="J5" s="34"/>
      <c r="K5" s="34"/>
      <c r="L5" s="34"/>
      <c r="M5" s="91" t="s">
        <v>117</v>
      </c>
      <c r="N5" s="40">
        <v>0</v>
      </c>
      <c r="O5" s="83">
        <v>0</v>
      </c>
      <c r="P5" s="83">
        <v>309241</v>
      </c>
      <c r="Q5" s="41">
        <f>Notes!D13</f>
        <v>175000</v>
      </c>
      <c r="R5" s="41">
        <f>129983+781000</f>
        <v>910983</v>
      </c>
      <c r="S5" s="41">
        <f>950246-781000</f>
        <v>169246</v>
      </c>
      <c r="T5" s="41">
        <v>0</v>
      </c>
      <c r="U5" s="42">
        <f t="shared" si="0"/>
        <v>1564470</v>
      </c>
      <c r="V5" s="40">
        <f>ROUND(+Table1[[#This Row],[Total]]*0.949,0)</f>
        <v>1484682</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73" t="s">
        <v>87</v>
      </c>
      <c r="B9" s="173"/>
      <c r="C9" s="173"/>
      <c r="D9" s="173"/>
      <c r="E9" s="173"/>
      <c r="F9" s="173"/>
      <c r="G9" s="173"/>
      <c r="H9" s="173"/>
      <c r="I9" s="173"/>
      <c r="J9" s="173"/>
      <c r="K9" s="173"/>
      <c r="L9" s="173"/>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309241</v>
      </c>
      <c r="Q12" s="48">
        <f t="shared" si="2"/>
        <v>175000</v>
      </c>
      <c r="R12" s="48">
        <f t="shared" si="2"/>
        <v>972542.01</v>
      </c>
      <c r="S12" s="48">
        <f t="shared" si="2"/>
        <v>178958</v>
      </c>
      <c r="T12" s="48">
        <f t="shared" si="2"/>
        <v>0</v>
      </c>
      <c r="U12" s="80">
        <f t="shared" ref="U12" si="3">SUM(O12:T12)</f>
        <v>1635741.01</v>
      </c>
      <c r="V12" s="47">
        <f>SUM(V4:V11)</f>
        <v>1555953.01</v>
      </c>
    </row>
    <row r="13" spans="1:22" x14ac:dyDescent="0.25">
      <c r="J13" s="34"/>
      <c r="K13" s="34"/>
      <c r="L13" s="34"/>
      <c r="M13" s="34"/>
      <c r="N13" s="49"/>
      <c r="O13" s="50"/>
      <c r="P13" s="50"/>
      <c r="Q13" s="50"/>
      <c r="R13" s="50"/>
      <c r="S13" s="50"/>
      <c r="T13" s="44"/>
    </row>
    <row r="14" spans="1:22" ht="15.75" customHeight="1" x14ac:dyDescent="0.25">
      <c r="A14" s="172" t="s">
        <v>62</v>
      </c>
      <c r="B14" s="172"/>
      <c r="C14" s="172"/>
      <c r="D14" s="172"/>
      <c r="J14" s="175" t="s">
        <v>63</v>
      </c>
      <c r="K14" s="176"/>
      <c r="L14" s="176"/>
      <c r="M14" s="177"/>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163</v>
      </c>
      <c r="C16" s="58" t="s">
        <v>94</v>
      </c>
      <c r="D16" s="58" t="s">
        <v>8</v>
      </c>
      <c r="E16" s="145" t="s">
        <v>164</v>
      </c>
      <c r="F16" s="128" t="s">
        <v>134</v>
      </c>
      <c r="G16" s="128" t="s">
        <v>137</v>
      </c>
      <c r="H16" s="128" t="s">
        <v>136</v>
      </c>
      <c r="I16" s="128" t="str">
        <f>CONCATENATE(Table_Query_from_MS_Access_Database8[RTE],Table_Query_from_MS_Access_Database8[SEC],Table_Query_from_MS_Access_Database8[SEQ])</f>
        <v>YMPP019</v>
      </c>
      <c r="J16" s="128">
        <v>43374</v>
      </c>
      <c r="K16" s="125">
        <v>43374</v>
      </c>
      <c r="L16" s="125">
        <v>43374</v>
      </c>
      <c r="M16" s="125">
        <v>43374</v>
      </c>
      <c r="N16" s="138"/>
      <c r="O16" s="138"/>
      <c r="P16" s="138">
        <v>308032</v>
      </c>
      <c r="Q16" s="138"/>
      <c r="R16" s="139"/>
      <c r="S16" s="104"/>
      <c r="T16" s="104"/>
      <c r="U16" s="104">
        <f>SUM(Table_Query_from_MS_Access_Database8[[#This Row],[HURF EX]:[STP OTHER]])</f>
        <v>308032</v>
      </c>
      <c r="V16" s="104">
        <f>V12-Table_Query_from_MS_Access_Database8[TOTAL OF AMOUNT]</f>
        <v>1247921.01</v>
      </c>
    </row>
    <row r="17" spans="1:22" s="58" customFormat="1" ht="13.5" x14ac:dyDescent="0.25">
      <c r="A17" s="146" t="s">
        <v>132</v>
      </c>
      <c r="B17" s="146"/>
      <c r="C17" s="146" t="s">
        <v>94</v>
      </c>
      <c r="D17" s="146" t="s">
        <v>8</v>
      </c>
      <c r="E17" s="146" t="s">
        <v>133</v>
      </c>
      <c r="F17" s="135" t="s">
        <v>134</v>
      </c>
      <c r="G17" s="135" t="s">
        <v>135</v>
      </c>
      <c r="H17" s="135" t="s">
        <v>136</v>
      </c>
      <c r="I17" s="135" t="str">
        <f>CONCATENATE(Table_Query_from_MS_Access_Database8[RTE],Table_Query_from_MS_Access_Database8[SEC],Table_Query_from_MS_Access_Database8[SEQ])</f>
        <v>YMPS019</v>
      </c>
      <c r="J17" s="135">
        <v>43374</v>
      </c>
      <c r="K17" s="136">
        <v>43374</v>
      </c>
      <c r="L17" s="136">
        <v>43374</v>
      </c>
      <c r="M17" s="136">
        <v>43374</v>
      </c>
      <c r="N17" s="140"/>
      <c r="O17" s="140"/>
      <c r="P17" s="140"/>
      <c r="Q17" s="140">
        <v>131250</v>
      </c>
      <c r="R17" s="140"/>
      <c r="S17" s="140"/>
      <c r="T17" s="140"/>
      <c r="U17" s="104">
        <f>SUM(Table_Query_from_MS_Access_Database8[[#This Row],[HURF EX]:[STP OTHER]])</f>
        <v>131250</v>
      </c>
      <c r="V17" s="162">
        <f>V16-Table_Query_from_MS_Access_Database8[TOTAL OF AMOUNT]</f>
        <v>1116671.01</v>
      </c>
    </row>
    <row r="18" spans="1:22" s="58" customFormat="1" ht="13.5" x14ac:dyDescent="0.25">
      <c r="A18" s="157" t="s">
        <v>205</v>
      </c>
      <c r="B18" s="157" t="s">
        <v>206</v>
      </c>
      <c r="C18" s="157" t="s">
        <v>198</v>
      </c>
      <c r="D18" s="157" t="s">
        <v>9</v>
      </c>
      <c r="E18" s="157" t="s">
        <v>199</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-346.67</v>
      </c>
      <c r="P18" s="161"/>
      <c r="Q18" s="161"/>
      <c r="R18" s="161"/>
      <c r="S18" s="161"/>
      <c r="T18" s="161"/>
      <c r="U18" s="162">
        <f>SUM(Table_Query_from_MS_Access_Database8[[#This Row],[HURF EX]:[STP OTHER]])</f>
        <v>-346.67</v>
      </c>
      <c r="V18" s="162">
        <f>V17-Table_Query_from_MS_Access_Database8[TOTAL OF AMOUNT]</f>
        <v>1117017.68</v>
      </c>
    </row>
    <row r="19" spans="1:22" s="58" customFormat="1" ht="13.5" x14ac:dyDescent="0.25">
      <c r="A19" s="164" t="s">
        <v>207</v>
      </c>
      <c r="B19" s="164"/>
      <c r="C19" s="164" t="s">
        <v>198</v>
      </c>
      <c r="D19" s="164" t="s">
        <v>9</v>
      </c>
      <c r="E19" s="164" t="s">
        <v>208</v>
      </c>
      <c r="F19" s="165" t="s">
        <v>200</v>
      </c>
      <c r="G19" s="165" t="s">
        <v>127</v>
      </c>
      <c r="H19" s="165" t="s">
        <v>201</v>
      </c>
      <c r="I19" s="166" t="str">
        <f>CONCATENATE(Table_Query_from_MS_Access_Database8[RTE],Table_Query_from_MS_Access_Database8[SEC],Table_Query_from_MS_Access_Database8[SEQ])</f>
        <v>YYU0207</v>
      </c>
      <c r="J19" s="165"/>
      <c r="K19" s="167">
        <v>43397</v>
      </c>
      <c r="L19" s="167">
        <v>43397</v>
      </c>
      <c r="M19" s="167">
        <v>43409</v>
      </c>
      <c r="N19" s="168"/>
      <c r="O19" s="168">
        <v>-13.45</v>
      </c>
      <c r="P19" s="168"/>
      <c r="Q19" s="168"/>
      <c r="R19" s="168"/>
      <c r="S19" s="168"/>
      <c r="T19" s="168"/>
      <c r="U19" s="169">
        <f>SUM(Table_Query_from_MS_Access_Database8[[#This Row],[HURF EX]:[STP OTHER]])</f>
        <v>-13.45</v>
      </c>
      <c r="V19" s="162">
        <f>V18-Table_Query_from_MS_Access_Database8[TOTAL OF AMOUNT]</f>
        <v>1117031.1299999999</v>
      </c>
    </row>
    <row r="20" spans="1:22" s="58" customFormat="1" ht="13.5" x14ac:dyDescent="0.25">
      <c r="A20" s="164" t="s">
        <v>196</v>
      </c>
      <c r="B20" s="164" t="s">
        <v>197</v>
      </c>
      <c r="C20" s="164" t="s">
        <v>198</v>
      </c>
      <c r="D20" s="164" t="s">
        <v>9</v>
      </c>
      <c r="E20" s="164" t="s">
        <v>199</v>
      </c>
      <c r="F20" s="165" t="s">
        <v>200</v>
      </c>
      <c r="G20" s="165" t="s">
        <v>127</v>
      </c>
      <c r="H20" s="165" t="s">
        <v>201</v>
      </c>
      <c r="I20" s="166" t="str">
        <f>CONCATENATE(Table_Query_from_MS_Access_Database8[RTE],Table_Query_from_MS_Access_Database8[SEC],Table_Query_from_MS_Access_Database8[SEQ])</f>
        <v>YYU0207</v>
      </c>
      <c r="J20" s="165"/>
      <c r="K20" s="167">
        <v>43397</v>
      </c>
      <c r="L20" s="167">
        <v>43397</v>
      </c>
      <c r="M20" s="167">
        <v>43409</v>
      </c>
      <c r="N20" s="168"/>
      <c r="O20" s="168">
        <v>-33556.19</v>
      </c>
      <c r="P20" s="168"/>
      <c r="Q20" s="168"/>
      <c r="R20" s="168"/>
      <c r="S20" s="168"/>
      <c r="T20" s="168"/>
      <c r="U20" s="169">
        <f>SUM(Table_Query_from_MS_Access_Database8[[#This Row],[HURF EX]:[STP OTHER]])</f>
        <v>-33556.19</v>
      </c>
      <c r="V20" s="162">
        <f>V19-Table_Query_from_MS_Access_Database8[TOTAL OF AMOUNT]</f>
        <v>1150587.3199999998</v>
      </c>
    </row>
    <row r="21" spans="1:22" s="99" customFormat="1" ht="13.5" x14ac:dyDescent="0.25">
      <c r="A21" s="164" t="s">
        <v>163</v>
      </c>
      <c r="B21" s="164"/>
      <c r="C21" s="164" t="s">
        <v>94</v>
      </c>
      <c r="D21" s="164" t="s">
        <v>8</v>
      </c>
      <c r="E21" s="164" t="s">
        <v>164</v>
      </c>
      <c r="F21" s="165" t="s">
        <v>134</v>
      </c>
      <c r="G21" s="165" t="s">
        <v>137</v>
      </c>
      <c r="H21" s="165" t="s">
        <v>136</v>
      </c>
      <c r="I21" s="166" t="str">
        <f>CONCATENATE(Table_Query_from_MS_Access_Database8[RTE],Table_Query_from_MS_Access_Database8[SEC],Table_Query_from_MS_Access_Database8[SEQ])</f>
        <v>YMPP019</v>
      </c>
      <c r="J21" s="165">
        <v>43405</v>
      </c>
      <c r="K21" s="167">
        <v>43434</v>
      </c>
      <c r="L21" s="167">
        <v>43438</v>
      </c>
      <c r="M21" s="167">
        <v>43447</v>
      </c>
      <c r="N21" s="168"/>
      <c r="O21" s="168"/>
      <c r="P21" s="168">
        <v>47084.42</v>
      </c>
      <c r="Q21" s="168"/>
      <c r="R21" s="168"/>
      <c r="S21" s="168"/>
      <c r="T21" s="168"/>
      <c r="U21" s="169">
        <f>SUM(Table_Query_from_MS_Access_Database8[[#This Row],[HURF EX]:[STP OTHER]])</f>
        <v>47084.42</v>
      </c>
      <c r="V21" s="162">
        <f>V20-Table_Query_from_MS_Access_Database8[TOTAL OF AMOUNT]</f>
        <v>1103502.8999999999</v>
      </c>
    </row>
    <row r="22" spans="1:22" s="99" customFormat="1" ht="13.5" x14ac:dyDescent="0.25">
      <c r="A22" s="164" t="s">
        <v>132</v>
      </c>
      <c r="B22" s="164"/>
      <c r="C22" s="164" t="s">
        <v>94</v>
      </c>
      <c r="D22" s="164" t="s">
        <v>23</v>
      </c>
      <c r="E22" s="164" t="s">
        <v>133</v>
      </c>
      <c r="F22" s="165" t="s">
        <v>134</v>
      </c>
      <c r="G22" s="165" t="s">
        <v>135</v>
      </c>
      <c r="H22" s="165" t="s">
        <v>136</v>
      </c>
      <c r="I22" s="166" t="str">
        <f>CONCATENATE(Table_Query_from_MS_Access_Database8[RTE],Table_Query_from_MS_Access_Database8[SEC],Table_Query_from_MS_Access_Database8[SEQ])</f>
        <v>YMPS019</v>
      </c>
      <c r="J22" s="165">
        <v>43405</v>
      </c>
      <c r="K22" s="167">
        <v>43434</v>
      </c>
      <c r="L22" s="167">
        <v>43438</v>
      </c>
      <c r="M22" s="167">
        <v>43447</v>
      </c>
      <c r="N22" s="168"/>
      <c r="O22" s="168"/>
      <c r="P22" s="168"/>
      <c r="Q22" s="168">
        <v>29836.240000000002</v>
      </c>
      <c r="R22" s="168"/>
      <c r="S22" s="168"/>
      <c r="T22" s="168"/>
      <c r="U22" s="169">
        <f>SUM(Table_Query_from_MS_Access_Database8[[#This Row],[HURF EX]:[STP OTHER]])</f>
        <v>29836.240000000002</v>
      </c>
      <c r="V22" s="162">
        <f>V21-Table_Query_from_MS_Access_Database8[TOTAL OF AMOUNT]</f>
        <v>1073666.6599999999</v>
      </c>
    </row>
    <row r="23" spans="1:22" s="99" customFormat="1" ht="13.5" x14ac:dyDescent="0.25">
      <c r="A23" s="164" t="s">
        <v>209</v>
      </c>
      <c r="B23" s="164"/>
      <c r="C23" s="164" t="s">
        <v>94</v>
      </c>
      <c r="D23" s="164" t="s">
        <v>8</v>
      </c>
      <c r="E23" s="164" t="s">
        <v>210</v>
      </c>
      <c r="F23" s="165" t="s">
        <v>134</v>
      </c>
      <c r="G23" s="165" t="s">
        <v>137</v>
      </c>
      <c r="H23" s="165" t="s">
        <v>211</v>
      </c>
      <c r="I23" s="166" t="str">
        <f>CONCATENATE(Table_Query_from_MS_Access_Database8[RTE],Table_Query_from_MS_Access_Database8[SEC],Table_Query_from_MS_Access_Database8[SEQ])</f>
        <v>YMPP018</v>
      </c>
      <c r="J23" s="165">
        <v>43405</v>
      </c>
      <c r="K23" s="167">
        <v>43434</v>
      </c>
      <c r="L23" s="167">
        <v>43438</v>
      </c>
      <c r="M23" s="167">
        <v>43447</v>
      </c>
      <c r="N23" s="168"/>
      <c r="O23" s="168"/>
      <c r="P23" s="168">
        <v>-47084.42</v>
      </c>
      <c r="Q23" s="168"/>
      <c r="R23" s="168"/>
      <c r="S23" s="168"/>
      <c r="T23" s="168"/>
      <c r="U23" s="169">
        <f>SUM(Table_Query_from_MS_Access_Database8[[#This Row],[HURF EX]:[STP OTHER]])</f>
        <v>-47084.42</v>
      </c>
      <c r="V23" s="162">
        <f>V22-Table_Query_from_MS_Access_Database8[TOTAL OF AMOUNT]</f>
        <v>1120751.0799999998</v>
      </c>
    </row>
    <row r="24" spans="1:22" s="99" customFormat="1" ht="13.5" x14ac:dyDescent="0.25">
      <c r="A24" s="164" t="s">
        <v>212</v>
      </c>
      <c r="B24" s="164"/>
      <c r="C24" s="164" t="s">
        <v>94</v>
      </c>
      <c r="D24" s="164" t="s">
        <v>8</v>
      </c>
      <c r="E24" s="164" t="s">
        <v>213</v>
      </c>
      <c r="F24" s="165" t="s">
        <v>134</v>
      </c>
      <c r="G24" s="165" t="s">
        <v>135</v>
      </c>
      <c r="H24" s="165" t="s">
        <v>211</v>
      </c>
      <c r="I24" s="166" t="str">
        <f>CONCATENATE(Table_Query_from_MS_Access_Database8[RTE],Table_Query_from_MS_Access_Database8[SEC],Table_Query_from_MS_Access_Database8[SEQ])</f>
        <v>YMPS018</v>
      </c>
      <c r="J24" s="165">
        <v>43405</v>
      </c>
      <c r="K24" s="167">
        <v>43434</v>
      </c>
      <c r="L24" s="167">
        <v>43438</v>
      </c>
      <c r="M24" s="167">
        <v>43447</v>
      </c>
      <c r="N24" s="168"/>
      <c r="O24" s="168"/>
      <c r="P24" s="168"/>
      <c r="Q24" s="168">
        <v>-29836.240000000002</v>
      </c>
      <c r="R24" s="168"/>
      <c r="S24" s="168"/>
      <c r="T24" s="168"/>
      <c r="U24" s="169">
        <f>SUM(Table_Query_from_MS_Access_Database8[[#This Row],[HURF EX]:[STP OTHER]])</f>
        <v>-29836.240000000002</v>
      </c>
      <c r="V24" s="169">
        <f>V23-Table_Query_from_MS_Access_Database8[TOTAL OF AMOUNT]</f>
        <v>1150587.3199999998</v>
      </c>
    </row>
    <row r="25" spans="1:22" s="58" customFormat="1" ht="13.5" x14ac:dyDescent="0.25">
      <c r="E25" s="53"/>
      <c r="F25" s="53"/>
      <c r="G25" s="53"/>
      <c r="H25" s="53"/>
      <c r="I25" s="53"/>
      <c r="J25" s="53"/>
      <c r="K25" s="53"/>
      <c r="L25" s="53"/>
      <c r="M25" s="85" t="s">
        <v>76</v>
      </c>
      <c r="N25" s="105">
        <f>SUM(Table_Query_from_MS_Access_Database8[[#All],[HURF EX]])</f>
        <v>0</v>
      </c>
      <c r="O25" s="105">
        <f>SUM(Table_Query_from_MS_Access_Database8[[#All],[HSIP]])</f>
        <v>-33916.310000000005</v>
      </c>
      <c r="P25" s="105">
        <f>SUM(Table_Query_from_MS_Access_Database8[[#All],[PL]])</f>
        <v>308032</v>
      </c>
      <c r="Q25" s="105">
        <f>SUM(Table_Query_from_MS_Access_Database8[[#All],[SPR]])</f>
        <v>131250</v>
      </c>
      <c r="R25" s="105">
        <f>SUM(Table_Query_from_MS_Access_Database8[[#All],[STP &lt;5]])</f>
        <v>0</v>
      </c>
      <c r="S25" s="105">
        <f>SUM(Table_Query_from_MS_Access_Database8[[#All],[STP 5-200]])</f>
        <v>0</v>
      </c>
      <c r="T25" s="105">
        <f>SUM(Table_Query_from_MS_Access_Database8[[#All],[STP OTHER]])</f>
        <v>0</v>
      </c>
      <c r="U25" s="105">
        <f>SUM(Table_Query_from_MS_Access_Database8[[#All],[TOTAL OF AMOUNT]])</f>
        <v>405365.69</v>
      </c>
      <c r="V25" s="104"/>
    </row>
    <row r="26" spans="1:22" s="99" customFormat="1" ht="27" x14ac:dyDescent="0.25">
      <c r="E26" s="53"/>
      <c r="F26" s="53"/>
      <c r="G26" s="53"/>
      <c r="H26" s="53"/>
      <c r="I26" s="53"/>
      <c r="J26" s="53"/>
      <c r="K26" s="53"/>
      <c r="L26" s="53"/>
      <c r="M26" s="85" t="s">
        <v>75</v>
      </c>
      <c r="N26" s="105">
        <f>+N12-N25</f>
        <v>0</v>
      </c>
      <c r="O26" s="105">
        <f>+O12-O25</f>
        <v>33916.310000000005</v>
      </c>
      <c r="P26" s="105">
        <f>+P12-P25</f>
        <v>1209</v>
      </c>
      <c r="Q26" s="105">
        <f>+Q12-Q25</f>
        <v>43750</v>
      </c>
      <c r="R26" s="105">
        <f>+R12-R25</f>
        <v>972542.01</v>
      </c>
      <c r="S26" s="105">
        <f>+S12-S25</f>
        <v>178958</v>
      </c>
      <c r="T26" s="105">
        <f>+T12-T25</f>
        <v>0</v>
      </c>
      <c r="U26" s="105">
        <f>+U12-U25</f>
        <v>1230375.32</v>
      </c>
      <c r="V26" s="104"/>
    </row>
    <row r="27" spans="1:22" s="99" customFormat="1" ht="15" x14ac:dyDescent="0.25">
      <c r="A27" s="60"/>
      <c r="B27" s="60"/>
      <c r="C27" s="60"/>
      <c r="D27" s="60"/>
      <c r="E27" s="54"/>
      <c r="F27" s="54"/>
      <c r="G27" s="54"/>
      <c r="H27" s="54"/>
      <c r="I27" s="54"/>
      <c r="J27" s="54"/>
      <c r="K27" s="54"/>
      <c r="L27" s="54"/>
      <c r="M27" s="60"/>
      <c r="N27" s="60"/>
      <c r="O27" s="60"/>
      <c r="P27" s="60"/>
      <c r="Q27" s="60"/>
      <c r="R27" s="60"/>
      <c r="S27" s="52"/>
      <c r="T27" s="58"/>
      <c r="U27" s="58"/>
      <c r="V27" s="63"/>
    </row>
    <row r="28" spans="1:22" s="99" customFormat="1" ht="17.25" x14ac:dyDescent="0.3">
      <c r="A28" s="172" t="s">
        <v>35</v>
      </c>
      <c r="B28" s="172"/>
      <c r="C28" s="172"/>
      <c r="D28" s="172"/>
      <c r="E28" s="59"/>
      <c r="F28" s="59"/>
      <c r="G28" s="60"/>
      <c r="H28" s="60"/>
      <c r="I28" s="60"/>
      <c r="J28" s="62"/>
      <c r="K28" s="61"/>
      <c r="L28" s="61"/>
      <c r="M28" s="61"/>
      <c r="N28" s="61"/>
      <c r="O28" s="52"/>
      <c r="P28" s="52"/>
      <c r="Q28" s="54"/>
      <c r="R28" s="54"/>
      <c r="S28" s="52"/>
      <c r="T28" s="58"/>
      <c r="U28" s="58"/>
      <c r="V28" s="63"/>
    </row>
    <row r="29" spans="1:22" s="99" customFormat="1" ht="40.5" x14ac:dyDescent="0.25">
      <c r="A29" s="86" t="s">
        <v>1</v>
      </c>
      <c r="B29" s="86" t="s">
        <v>0</v>
      </c>
      <c r="C29" s="86" t="s">
        <v>3</v>
      </c>
      <c r="D29" s="86" t="s">
        <v>84</v>
      </c>
      <c r="E29" s="86" t="s">
        <v>2</v>
      </c>
      <c r="F29" s="86" t="s">
        <v>46</v>
      </c>
      <c r="G29" s="86" t="s">
        <v>47</v>
      </c>
      <c r="H29" s="86" t="s">
        <v>48</v>
      </c>
      <c r="I29" s="86" t="s">
        <v>138</v>
      </c>
      <c r="J29" s="94" t="s">
        <v>49</v>
      </c>
      <c r="K29" s="86" t="s">
        <v>50</v>
      </c>
      <c r="L29" s="86" t="s">
        <v>51</v>
      </c>
      <c r="M29" s="86" t="s">
        <v>52</v>
      </c>
      <c r="N29" s="86" t="s">
        <v>152</v>
      </c>
      <c r="O29" s="86" t="s">
        <v>4</v>
      </c>
      <c r="P29" s="86" t="s">
        <v>42</v>
      </c>
      <c r="Q29" s="86" t="s">
        <v>5</v>
      </c>
      <c r="R29" s="86" t="s">
        <v>131</v>
      </c>
      <c r="S29" s="86" t="s">
        <v>155</v>
      </c>
      <c r="T29" s="86" t="s">
        <v>53</v>
      </c>
      <c r="U29" s="86" t="s">
        <v>85</v>
      </c>
      <c r="V29" s="86" t="s">
        <v>54</v>
      </c>
    </row>
    <row r="30" spans="1:22" s="99" customFormat="1" ht="13.5" x14ac:dyDescent="0.25">
      <c r="A30" s="58" t="s">
        <v>172</v>
      </c>
      <c r="B30" s="58"/>
      <c r="C30" s="58" t="s">
        <v>94</v>
      </c>
      <c r="D30" s="58" t="s">
        <v>7</v>
      </c>
      <c r="E30" s="84" t="s">
        <v>173</v>
      </c>
      <c r="F30" s="127" t="s">
        <v>134</v>
      </c>
      <c r="G30" s="128" t="s">
        <v>135</v>
      </c>
      <c r="H30" s="128" t="s">
        <v>174</v>
      </c>
      <c r="I30" s="128" t="str">
        <f>CONCATENATE(Table_Query_from_MS_Access_Database_1[RTE],Table_Query_from_MS_Access_Database_1[SEC],Table_Query_from_MS_Access_Database_1[SEQ])</f>
        <v>YMPS020</v>
      </c>
      <c r="J30" s="125">
        <v>43617</v>
      </c>
      <c r="K30" s="137"/>
      <c r="L30" s="137"/>
      <c r="M30" s="137"/>
      <c r="N30" s="150"/>
      <c r="O30" s="138"/>
      <c r="P30" s="138"/>
      <c r="Q30" s="138">
        <v>43750</v>
      </c>
      <c r="R30" s="139"/>
      <c r="S30" s="104"/>
      <c r="T30" s="104"/>
      <c r="U30" s="104">
        <f>SUM(Table_Query_from_MS_Access_Database_1[[#This Row],[HURF EX]:[STP OTHER]])</f>
        <v>43750</v>
      </c>
      <c r="V30" s="129">
        <f>V24-Table_Query_from_MS_Access_Database_1[TOTAL OF AMOUNT]</f>
        <v>1106837.3199999998</v>
      </c>
    </row>
    <row r="31" spans="1:22" s="58" customFormat="1" ht="13.5" x14ac:dyDescent="0.25">
      <c r="A31" s="151" t="s">
        <v>175</v>
      </c>
      <c r="B31" s="151" t="s">
        <v>156</v>
      </c>
      <c r="C31" s="151" t="s">
        <v>204</v>
      </c>
      <c r="D31" s="151" t="s">
        <v>7</v>
      </c>
      <c r="E31" s="152" t="s">
        <v>176</v>
      </c>
      <c r="F31" s="153" t="s">
        <v>161</v>
      </c>
      <c r="G31" s="154" t="s">
        <v>162</v>
      </c>
      <c r="H31" s="154" t="s">
        <v>177</v>
      </c>
      <c r="I31" s="154" t="str">
        <f>CONCATENATE(Table_Query_from_MS_Access_Database_1[RTE],Table_Query_from_MS_Access_Database_1[SEC],Table_Query_from_MS_Access_Database_1[SEQ])</f>
        <v>094ATBD</v>
      </c>
      <c r="J31" s="155">
        <v>43466</v>
      </c>
      <c r="K31" s="156"/>
      <c r="L31" s="156"/>
      <c r="M31" s="156"/>
      <c r="N31" s="150"/>
      <c r="O31" s="138"/>
      <c r="P31" s="138"/>
      <c r="Q31" s="138"/>
      <c r="R31" s="138"/>
      <c r="S31" s="129">
        <v>5000</v>
      </c>
      <c r="T31" s="129"/>
      <c r="U31" s="129">
        <f>SUM(Table_Query_from_MS_Access_Database_1[[#This Row],[HURF EX]:[STP OTHER]])</f>
        <v>5000</v>
      </c>
      <c r="V31" s="129">
        <f>V30-Table_Query_from_MS_Access_Database_1[TOTAL OF AMOUNT]</f>
        <v>1101837.3199999998</v>
      </c>
    </row>
    <row r="32" spans="1:22" s="58" customFormat="1" ht="13.5" x14ac:dyDescent="0.25">
      <c r="A32" s="151" t="s">
        <v>178</v>
      </c>
      <c r="B32" s="151" t="s">
        <v>179</v>
      </c>
      <c r="C32" s="151" t="s">
        <v>180</v>
      </c>
      <c r="D32" s="151" t="s">
        <v>7</v>
      </c>
      <c r="E32" s="152" t="s">
        <v>181</v>
      </c>
      <c r="F32" s="153" t="s">
        <v>182</v>
      </c>
      <c r="G32" s="154" t="s">
        <v>127</v>
      </c>
      <c r="H32" s="154" t="s">
        <v>183</v>
      </c>
      <c r="I32" s="154" t="str">
        <f>CONCATENATE(Table_Query_from_MS_Access_Database_1[RTE],Table_Query_from_MS_Access_Database_1[SEC],Table_Query_from_MS_Access_Database_1[SEQ])</f>
        <v>WEL0200</v>
      </c>
      <c r="J32" s="155">
        <v>43472</v>
      </c>
      <c r="K32" s="156"/>
      <c r="L32" s="156"/>
      <c r="M32" s="156"/>
      <c r="N32" s="150"/>
      <c r="O32" s="138"/>
      <c r="P32" s="138"/>
      <c r="Q32" s="138"/>
      <c r="R32" s="138">
        <v>972413</v>
      </c>
      <c r="S32" s="129"/>
      <c r="T32" s="129"/>
      <c r="U32" s="129">
        <f>SUM(Table_Query_from_MS_Access_Database_1[[#This Row],[HURF EX]:[STP OTHER]])</f>
        <v>972413</v>
      </c>
      <c r="V32" s="129">
        <f>V31-Table_Query_from_MS_Access_Database_1[TOTAL OF AMOUNT]</f>
        <v>129424.31999999983</v>
      </c>
    </row>
    <row r="33" spans="1:22" s="58" customFormat="1" ht="13.5" x14ac:dyDescent="0.25">
      <c r="J33" s="63"/>
      <c r="K33" s="63"/>
      <c r="L33" s="63"/>
      <c r="M33" s="87" t="s">
        <v>86</v>
      </c>
      <c r="N33" s="141">
        <f>SUM(Table_Query_from_MS_Access_Database_1[[#All],[HURF EX]])</f>
        <v>0</v>
      </c>
      <c r="O33" s="141">
        <f>SUM(Table_Query_from_MS_Access_Database_1[[#All],[HSIP]])</f>
        <v>0</v>
      </c>
      <c r="P33" s="141">
        <f>SUM(Table_Query_from_MS_Access_Database_1[[#All],[PL]])</f>
        <v>0</v>
      </c>
      <c r="Q33" s="141">
        <f>SUM(Table_Query_from_MS_Access_Database_1[[#All],[SPR]])</f>
        <v>43750</v>
      </c>
      <c r="R33" s="141">
        <f>SUM(Table_Query_from_MS_Access_Database_1[[#All],[STP &lt;5]])</f>
        <v>972413</v>
      </c>
      <c r="S33" s="141">
        <f>SUM(Table_Query_from_MS_Access_Database_1[[#All],[STP 5-200]])</f>
        <v>5000</v>
      </c>
      <c r="T33" s="141">
        <f>SUM(Table_Query_from_MS_Access_Database_1[[#All],[STP OTHER]])</f>
        <v>0</v>
      </c>
      <c r="U33" s="141">
        <f>SUM(Table_Query_from_MS_Access_Database_1[[#All],[TOTAL OF AMOUNT]])</f>
        <v>1021163</v>
      </c>
      <c r="V33" s="142"/>
    </row>
    <row r="34" spans="1:22" s="55" customFormat="1" ht="27" x14ac:dyDescent="0.25">
      <c r="A34" s="58"/>
      <c r="B34" s="58"/>
      <c r="C34" s="58"/>
      <c r="D34" s="58"/>
      <c r="E34" s="58"/>
      <c r="F34" s="58"/>
      <c r="G34" s="58"/>
      <c r="H34" s="58"/>
      <c r="I34" s="58"/>
      <c r="J34" s="63"/>
      <c r="K34" s="63"/>
      <c r="L34" s="63"/>
      <c r="M34" s="88" t="s">
        <v>75</v>
      </c>
      <c r="N34" s="105">
        <f t="shared" ref="N34:U34" si="4">+N26-N33</f>
        <v>0</v>
      </c>
      <c r="O34" s="105">
        <f t="shared" si="4"/>
        <v>33916.310000000005</v>
      </c>
      <c r="P34" s="105">
        <f t="shared" si="4"/>
        <v>1209</v>
      </c>
      <c r="Q34" s="105">
        <f t="shared" si="4"/>
        <v>0</v>
      </c>
      <c r="R34" s="105">
        <f t="shared" si="4"/>
        <v>129.01000000000931</v>
      </c>
      <c r="S34" s="105">
        <f t="shared" si="4"/>
        <v>173958</v>
      </c>
      <c r="T34" s="105">
        <f t="shared" si="4"/>
        <v>0</v>
      </c>
      <c r="U34" s="105">
        <f t="shared" si="4"/>
        <v>209212.32000000007</v>
      </c>
      <c r="V34" s="104"/>
    </row>
    <row r="35" spans="1:22" s="55" customFormat="1" x14ac:dyDescent="0.25">
      <c r="J35" s="57"/>
      <c r="K35" s="57"/>
      <c r="L35" s="57"/>
      <c r="M35" s="57"/>
      <c r="N35" s="57">
        <f>N25+N33</f>
        <v>0</v>
      </c>
      <c r="O35" s="57">
        <f t="shared" ref="O35:U35" si="5">O25+O33</f>
        <v>-33916.310000000005</v>
      </c>
      <c r="P35" s="57">
        <f t="shared" si="5"/>
        <v>308032</v>
      </c>
      <c r="Q35" s="57">
        <f t="shared" si="5"/>
        <v>175000</v>
      </c>
      <c r="R35" s="57">
        <f t="shared" si="5"/>
        <v>972413</v>
      </c>
      <c r="S35" s="57">
        <f t="shared" si="5"/>
        <v>5000</v>
      </c>
      <c r="T35" s="57">
        <f t="shared" si="5"/>
        <v>0</v>
      </c>
      <c r="U35" s="57">
        <f t="shared" si="5"/>
        <v>1426528.69</v>
      </c>
      <c r="V35" s="58"/>
    </row>
    <row r="36" spans="1:22" s="58" customFormat="1" x14ac:dyDescent="0.25">
      <c r="A36" s="55"/>
      <c r="B36" s="55"/>
      <c r="C36" s="55"/>
      <c r="D36" s="55"/>
      <c r="E36" s="55"/>
      <c r="F36" s="55"/>
      <c r="G36" s="55"/>
      <c r="H36" s="55"/>
      <c r="I36" s="55"/>
      <c r="J36" s="57"/>
      <c r="K36" s="57"/>
      <c r="L36" s="57"/>
      <c r="M36" s="57"/>
      <c r="N36" s="57"/>
      <c r="O36" s="57"/>
      <c r="P36" s="57"/>
      <c r="Q36" s="57"/>
      <c r="R36" s="55"/>
      <c r="S36" s="55"/>
      <c r="T36" s="63"/>
      <c r="U36" s="99"/>
    </row>
    <row r="37" spans="1:22" s="58" customFormat="1" ht="17.25" x14ac:dyDescent="0.25">
      <c r="A37" s="64" t="s">
        <v>77</v>
      </c>
      <c r="B37" s="55"/>
      <c r="C37" s="55"/>
      <c r="D37" s="55"/>
      <c r="E37" s="55"/>
      <c r="F37" s="55"/>
      <c r="G37" s="55"/>
      <c r="H37" s="55"/>
      <c r="I37" s="55"/>
      <c r="J37" s="57"/>
      <c r="K37" s="57"/>
      <c r="L37" s="57"/>
      <c r="M37" s="57"/>
      <c r="N37" s="170" t="s">
        <v>59</v>
      </c>
      <c r="O37" s="170"/>
      <c r="P37" s="170"/>
      <c r="Q37" s="170"/>
      <c r="R37" s="59"/>
      <c r="S37" s="55"/>
      <c r="T37" s="63"/>
    </row>
    <row r="38" spans="1:22" s="58" customFormat="1" ht="13.5" x14ac:dyDescent="0.25">
      <c r="J38" s="63"/>
      <c r="K38" s="63"/>
      <c r="L38" s="63"/>
      <c r="M38" s="106"/>
      <c r="N38" s="107" t="s">
        <v>152</v>
      </c>
      <c r="O38" s="107" t="s">
        <v>4</v>
      </c>
      <c r="P38" s="107" t="s">
        <v>42</v>
      </c>
      <c r="Q38" s="107" t="s">
        <v>5</v>
      </c>
      <c r="R38" s="107" t="s">
        <v>131</v>
      </c>
      <c r="S38" s="107" t="s">
        <v>143</v>
      </c>
      <c r="T38" s="107" t="s">
        <v>53</v>
      </c>
      <c r="U38" s="107" t="s">
        <v>55</v>
      </c>
      <c r="V38" s="108" t="s">
        <v>60</v>
      </c>
    </row>
    <row r="39" spans="1:22" s="58" customFormat="1" ht="13.5" x14ac:dyDescent="0.25">
      <c r="J39" s="63"/>
      <c r="K39" s="63"/>
      <c r="L39" s="63"/>
      <c r="M39" s="102" t="s">
        <v>184</v>
      </c>
      <c r="N39" s="105">
        <f>+N34</f>
        <v>0</v>
      </c>
      <c r="O39" s="105">
        <f t="shared" ref="O39:S39" si="6">+O34</f>
        <v>33916.310000000005</v>
      </c>
      <c r="P39" s="105">
        <f t="shared" si="6"/>
        <v>1209</v>
      </c>
      <c r="Q39" s="105">
        <f t="shared" si="6"/>
        <v>0</v>
      </c>
      <c r="R39" s="105">
        <f t="shared" si="6"/>
        <v>129.01000000000931</v>
      </c>
      <c r="S39" s="105">
        <f t="shared" si="6"/>
        <v>173958</v>
      </c>
      <c r="T39" s="105">
        <f t="shared" ref="T39" si="7">+T34</f>
        <v>0</v>
      </c>
      <c r="U39" s="105">
        <f>SUM(N39:T39)</f>
        <v>209212.32</v>
      </c>
      <c r="V39" s="105">
        <f>V32</f>
        <v>129424.31999999983</v>
      </c>
    </row>
    <row r="40" spans="1:22" s="55" customFormat="1" x14ac:dyDescent="0.25">
      <c r="A40" s="58"/>
      <c r="B40" s="58"/>
      <c r="C40" s="58"/>
      <c r="D40" s="58"/>
      <c r="E40" s="58"/>
      <c r="F40" s="58"/>
      <c r="G40" s="58"/>
      <c r="H40" s="58"/>
      <c r="I40" s="58"/>
      <c r="J40" s="63"/>
      <c r="K40" s="63"/>
      <c r="L40" s="63"/>
      <c r="M40" s="102" t="s">
        <v>185</v>
      </c>
      <c r="N40" s="143">
        <v>0</v>
      </c>
      <c r="O40" s="143">
        <v>0</v>
      </c>
      <c r="P40" s="143">
        <v>0</v>
      </c>
      <c r="Q40" s="143">
        <v>0</v>
      </c>
      <c r="R40" s="143">
        <v>0</v>
      </c>
      <c r="S40" s="143">
        <v>0</v>
      </c>
      <c r="T40" s="143">
        <v>0</v>
      </c>
      <c r="U40" s="143">
        <f>SUM(N40:T40)</f>
        <v>0</v>
      </c>
      <c r="V40" s="143">
        <f>SUMIFS(Table_Query_from_MS_Access_Database_16[[#All],[To]],Table_Query_from_MS_Access_Database_16[[#All],[Transaction Year]],"2019",Table_Query_from_MS_Access_Database_16[[#All],[Transaction Type]],"Lapsing")</f>
        <v>0</v>
      </c>
    </row>
    <row r="41" spans="1:22" s="55" customFormat="1" x14ac:dyDescent="0.25">
      <c r="A41" s="58"/>
      <c r="B41" s="58"/>
      <c r="C41" s="58"/>
      <c r="D41" s="58"/>
      <c r="E41" s="58"/>
      <c r="F41" s="58"/>
      <c r="G41" s="58"/>
      <c r="H41" s="58"/>
      <c r="I41" s="58"/>
      <c r="J41" s="63"/>
      <c r="K41" s="63"/>
      <c r="L41" s="63"/>
      <c r="M41" s="102" t="s">
        <v>186</v>
      </c>
      <c r="N41" s="144">
        <f t="shared" ref="N41" si="8">SUM(N39:N40)</f>
        <v>0</v>
      </c>
      <c r="O41" s="144">
        <f t="shared" ref="O41:S41" si="9">SUM(O39:O40)</f>
        <v>33916.310000000005</v>
      </c>
      <c r="P41" s="144">
        <f t="shared" si="9"/>
        <v>1209</v>
      </c>
      <c r="Q41" s="144">
        <f t="shared" si="9"/>
        <v>0</v>
      </c>
      <c r="R41" s="144">
        <f t="shared" si="9"/>
        <v>129.01000000000931</v>
      </c>
      <c r="S41" s="144">
        <f t="shared" si="9"/>
        <v>173958</v>
      </c>
      <c r="T41" s="144">
        <f t="shared" ref="T41" si="10">SUM(T39:T40)</f>
        <v>0</v>
      </c>
      <c r="U41" s="144">
        <f>SUM(N41:T41)</f>
        <v>209212.32</v>
      </c>
      <c r="V41" s="144">
        <f>SUM(V39:V40)</f>
        <v>129424.31999999983</v>
      </c>
    </row>
    <row r="42" spans="1:22" s="58" customFormat="1" ht="13.5" x14ac:dyDescent="0.25">
      <c r="J42" s="63"/>
      <c r="K42" s="63"/>
      <c r="L42" s="63"/>
      <c r="M42" s="103" t="s">
        <v>187</v>
      </c>
      <c r="N42" s="143">
        <f>+N39-N34</f>
        <v>0</v>
      </c>
      <c r="O42" s="143">
        <f t="shared" ref="O42:S42" si="11">+O39-O34</f>
        <v>0</v>
      </c>
      <c r="P42" s="143">
        <f t="shared" si="11"/>
        <v>0</v>
      </c>
      <c r="Q42" s="143">
        <f t="shared" si="11"/>
        <v>0</v>
      </c>
      <c r="R42" s="143">
        <f t="shared" si="11"/>
        <v>0</v>
      </c>
      <c r="S42" s="143">
        <f t="shared" si="11"/>
        <v>0</v>
      </c>
      <c r="T42" s="143">
        <f t="shared" ref="T42" si="12">+T39-T34</f>
        <v>0</v>
      </c>
      <c r="U42" s="143">
        <v>0</v>
      </c>
      <c r="V42" s="143">
        <v>0</v>
      </c>
    </row>
    <row r="43" spans="1:22" s="58" customFormat="1" x14ac:dyDescent="0.25">
      <c r="A43" s="55"/>
      <c r="B43" s="55"/>
      <c r="C43" s="55"/>
      <c r="D43" s="55"/>
      <c r="E43" s="55"/>
      <c r="F43" s="55"/>
      <c r="G43" s="55"/>
      <c r="H43" s="55"/>
      <c r="I43" s="55"/>
      <c r="J43" s="57"/>
      <c r="K43" s="57"/>
      <c r="L43" s="57"/>
      <c r="M43" s="57"/>
      <c r="N43" s="57"/>
      <c r="O43" s="57"/>
      <c r="P43" s="57"/>
      <c r="Q43" s="57"/>
      <c r="R43" s="55"/>
      <c r="S43" s="55"/>
    </row>
    <row r="44" spans="1:22" s="58" customFormat="1" x14ac:dyDescent="0.25">
      <c r="A44" s="33"/>
      <c r="B44" s="33"/>
      <c r="C44" s="33"/>
      <c r="D44" s="33"/>
      <c r="E44" s="33"/>
      <c r="F44" s="33"/>
      <c r="G44" s="33"/>
      <c r="H44" s="33"/>
      <c r="I44" s="33"/>
      <c r="J44" s="33"/>
      <c r="K44" s="33"/>
      <c r="L44" s="33"/>
      <c r="M44" s="33"/>
      <c r="N44" s="36"/>
      <c r="O44" s="36"/>
      <c r="P44" s="36"/>
      <c r="Q44" s="36"/>
      <c r="R44" s="36"/>
      <c r="S44" s="36"/>
      <c r="T44" s="36"/>
      <c r="U44" s="33"/>
      <c r="V44" s="33"/>
    </row>
    <row r="45" spans="1:22" s="58" customFormat="1" x14ac:dyDescent="0.25">
      <c r="A45" s="33"/>
      <c r="B45" s="33"/>
      <c r="C45" s="33"/>
      <c r="D45" s="33"/>
      <c r="E45" s="33"/>
      <c r="F45" s="33"/>
      <c r="G45" s="33"/>
      <c r="H45" s="33"/>
      <c r="I45" s="33"/>
      <c r="J45" s="33"/>
      <c r="K45" s="33"/>
      <c r="L45" s="33"/>
      <c r="M45" s="33"/>
      <c r="N45" s="36"/>
      <c r="O45" s="36"/>
      <c r="P45" s="36"/>
      <c r="Q45" s="36"/>
      <c r="R45" s="36"/>
      <c r="S45" s="36"/>
      <c r="T45" s="36"/>
      <c r="U45" s="33"/>
      <c r="V45" s="33"/>
    </row>
    <row r="46" spans="1:22" s="58" customFormat="1" x14ac:dyDescent="0.25">
      <c r="A46" s="33"/>
      <c r="B46" s="33"/>
      <c r="C46" s="33"/>
      <c r="D46" s="33"/>
      <c r="E46" s="33"/>
      <c r="F46" s="33"/>
      <c r="G46" s="33"/>
      <c r="H46" s="33"/>
      <c r="I46" s="33"/>
      <c r="J46" s="33"/>
      <c r="K46" s="33"/>
      <c r="L46" s="33"/>
      <c r="M46" s="33"/>
      <c r="N46" s="36"/>
      <c r="O46" s="36"/>
      <c r="P46" s="36"/>
      <c r="Q46" s="36"/>
      <c r="R46" s="36"/>
      <c r="S46" s="36"/>
      <c r="T46" s="36"/>
      <c r="U46" s="33"/>
      <c r="V46" s="33"/>
    </row>
    <row r="47" spans="1:22" s="55" customFormat="1" x14ac:dyDescent="0.25">
      <c r="A47" s="33"/>
      <c r="B47" s="33"/>
      <c r="C47" s="33"/>
      <c r="D47" s="33"/>
      <c r="E47" s="33"/>
      <c r="F47" s="33"/>
      <c r="G47" s="33"/>
      <c r="H47" s="33"/>
      <c r="I47" s="33"/>
      <c r="J47" s="33"/>
      <c r="K47" s="33"/>
      <c r="L47" s="33"/>
      <c r="M47" s="33"/>
      <c r="N47" s="36"/>
      <c r="O47" s="36"/>
      <c r="P47" s="36"/>
      <c r="Q47" s="36"/>
      <c r="R47" s="36"/>
      <c r="S47" s="36"/>
      <c r="T47" s="36"/>
      <c r="U47" s="33"/>
      <c r="V47" s="33"/>
    </row>
  </sheetData>
  <sheetProtection autoFilter="0"/>
  <mergeCells count="10">
    <mergeCell ref="N37:Q37"/>
    <mergeCell ref="A1:F1"/>
    <mergeCell ref="A14:D14"/>
    <mergeCell ref="A9:L9"/>
    <mergeCell ref="A3:D3"/>
    <mergeCell ref="A4:D4"/>
    <mergeCell ref="J14:M14"/>
    <mergeCell ref="A28:D28"/>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activeCell="G42" sqref="G42"/>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2" t="str">
        <f>+'Federal Funds Transactions'!A1:F1</f>
        <v>Yuma Metropolitan Planning Organization</v>
      </c>
      <c r="B1" s="182"/>
      <c r="C1" s="182"/>
      <c r="D1" s="182"/>
      <c r="E1" s="182"/>
      <c r="F1" s="182"/>
    </row>
    <row r="2" spans="1:42" ht="14.45" x14ac:dyDescent="0.3">
      <c r="A2" s="27"/>
      <c r="B2" s="27"/>
      <c r="C2" s="27"/>
      <c r="D2" s="27"/>
      <c r="E2" s="27"/>
      <c r="F2" s="27"/>
    </row>
    <row r="3" spans="1:42" ht="14.45" x14ac:dyDescent="0.3">
      <c r="A3" s="183" t="s">
        <v>83</v>
      </c>
      <c r="B3" s="183"/>
      <c r="C3" s="183"/>
      <c r="D3" s="183"/>
      <c r="E3" s="183"/>
      <c r="F3" s="183"/>
    </row>
    <row r="4" spans="1:42" ht="14.45" x14ac:dyDescent="0.3">
      <c r="A4" s="28"/>
      <c r="B4" s="28"/>
      <c r="C4" s="28"/>
      <c r="D4" s="28"/>
      <c r="E4" s="28"/>
      <c r="F4" s="28"/>
    </row>
    <row r="5" spans="1:42" ht="14.45" x14ac:dyDescent="0.3">
      <c r="A5" s="25" t="s">
        <v>82</v>
      </c>
      <c r="B5" s="71">
        <f>+'Federal Funds Transactions'!C5</f>
        <v>43465</v>
      </c>
      <c r="C5" s="27"/>
      <c r="D5" s="27"/>
      <c r="E5" s="27"/>
      <c r="F5" s="27"/>
    </row>
    <row r="6" spans="1:42" ht="14.45" x14ac:dyDescent="0.3">
      <c r="A6" s="27"/>
      <c r="B6" s="27"/>
      <c r="C6" s="27"/>
      <c r="D6" s="27"/>
      <c r="E6" s="27"/>
      <c r="F6" s="27"/>
    </row>
    <row r="7" spans="1:42" ht="15" customHeight="1" x14ac:dyDescent="0.3">
      <c r="A7" s="186" t="str">
        <f>+'Federal Funds Transactions'!A9:L9</f>
        <v>IMPORTANT! Please review the information in the Notes tab for further explanation of the data in this document.</v>
      </c>
      <c r="B7" s="186"/>
      <c r="C7" s="186"/>
      <c r="D7" s="186"/>
      <c r="E7" s="186"/>
      <c r="F7" s="186"/>
      <c r="G7" s="186"/>
      <c r="H7" s="186"/>
    </row>
    <row r="9" spans="1:42" ht="15.75" customHeight="1" x14ac:dyDescent="0.3">
      <c r="A9" s="184" t="s">
        <v>79</v>
      </c>
      <c r="B9" s="184"/>
      <c r="C9" s="184"/>
      <c r="D9" s="184"/>
      <c r="E9" s="184"/>
      <c r="F9" s="184"/>
      <c r="G9" s="18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v>61559.01</v>
      </c>
      <c r="O32" s="163"/>
      <c r="P32" s="163"/>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85" t="s">
        <v>80</v>
      </c>
      <c r="B34" s="185"/>
      <c r="C34" s="185"/>
      <c r="D34" s="185"/>
      <c r="E34" s="185"/>
      <c r="F34" s="185"/>
      <c r="G34" s="185"/>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v>61559.01</v>
      </c>
      <c r="O57" s="163"/>
      <c r="P57" s="163"/>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4" t="s">
        <v>14</v>
      </c>
      <c r="C1" s="194"/>
      <c r="D1" s="194"/>
      <c r="E1" s="194"/>
    </row>
    <row r="2" spans="1:5" ht="81.75" customHeight="1" x14ac:dyDescent="0.35">
      <c r="A2" s="1">
        <v>1</v>
      </c>
      <c r="B2" s="187" t="s">
        <v>16</v>
      </c>
      <c r="C2" s="187"/>
      <c r="D2" s="187"/>
      <c r="E2" s="187"/>
    </row>
    <row r="3" spans="1:5" ht="14.45" x14ac:dyDescent="0.35">
      <c r="B3" s="3"/>
      <c r="C3" s="3"/>
      <c r="D3" s="3"/>
      <c r="E3" s="3"/>
    </row>
    <row r="4" spans="1:5" ht="33" customHeight="1" x14ac:dyDescent="0.35">
      <c r="A4" s="1">
        <v>2</v>
      </c>
      <c r="B4" s="187" t="s">
        <v>17</v>
      </c>
      <c r="C4" s="187"/>
      <c r="D4" s="187"/>
      <c r="E4" s="187"/>
    </row>
    <row r="5" spans="1:5" ht="14.45" x14ac:dyDescent="0.35">
      <c r="B5" s="3"/>
      <c r="C5" s="3"/>
      <c r="D5" s="3"/>
      <c r="E5" s="3"/>
    </row>
    <row r="6" spans="1:5" s="17" customFormat="1" ht="114" customHeight="1" x14ac:dyDescent="0.25">
      <c r="A6" s="18">
        <v>3</v>
      </c>
      <c r="B6" s="188" t="s">
        <v>193</v>
      </c>
      <c r="C6" s="188"/>
      <c r="D6" s="188"/>
      <c r="E6" s="188"/>
    </row>
    <row r="7" spans="1:5" s="17" customFormat="1" ht="14.45" x14ac:dyDescent="0.35">
      <c r="A7" s="18"/>
      <c r="B7" s="19"/>
      <c r="C7" s="19"/>
      <c r="D7" s="19"/>
      <c r="E7" s="19"/>
    </row>
    <row r="8" spans="1:5" ht="18" customHeight="1" x14ac:dyDescent="0.3">
      <c r="A8" s="1">
        <v>4</v>
      </c>
      <c r="B8" s="191" t="s">
        <v>57</v>
      </c>
      <c r="C8" s="191"/>
      <c r="D8" s="8"/>
      <c r="E8" s="8"/>
    </row>
    <row r="9" spans="1:5" ht="18" customHeight="1" x14ac:dyDescent="0.3">
      <c r="B9" s="196" t="s">
        <v>188</v>
      </c>
      <c r="C9" s="196"/>
      <c r="D9" s="13">
        <v>175000</v>
      </c>
    </row>
    <row r="10" spans="1:5" ht="18" customHeight="1" x14ac:dyDescent="0.3">
      <c r="B10" s="187" t="s">
        <v>191</v>
      </c>
      <c r="C10" s="187"/>
      <c r="D10" s="12">
        <v>-43750</v>
      </c>
    </row>
    <row r="11" spans="1:5" ht="18" customHeight="1" x14ac:dyDescent="0.25">
      <c r="B11" s="196" t="s">
        <v>192</v>
      </c>
      <c r="C11" s="196"/>
      <c r="D11" s="14">
        <f>+D9+D10</f>
        <v>131250</v>
      </c>
    </row>
    <row r="12" spans="1:5" ht="31.5" customHeight="1" x14ac:dyDescent="0.25">
      <c r="B12" s="187" t="s">
        <v>189</v>
      </c>
      <c r="C12" s="187"/>
      <c r="D12" s="11">
        <v>43750</v>
      </c>
    </row>
    <row r="13" spans="1:5" ht="36.75" customHeight="1" x14ac:dyDescent="0.25">
      <c r="B13" s="196" t="s">
        <v>190</v>
      </c>
      <c r="C13" s="196"/>
      <c r="D13" s="15">
        <f>SUM(D11:D12)</f>
        <v>175000</v>
      </c>
    </row>
    <row r="14" spans="1:5" s="17" customFormat="1" ht="18" customHeight="1" x14ac:dyDescent="0.25">
      <c r="A14" s="18"/>
      <c r="B14" s="22"/>
      <c r="C14" s="22"/>
      <c r="D14" s="23"/>
    </row>
    <row r="15" spans="1:5" s="17" customFormat="1" ht="84.75" customHeight="1" x14ac:dyDescent="0.25">
      <c r="A15" s="1">
        <v>5</v>
      </c>
      <c r="B15" s="195" t="s">
        <v>58</v>
      </c>
      <c r="C15" s="195"/>
      <c r="D15" s="195"/>
      <c r="E15" s="195"/>
    </row>
    <row r="16" spans="1:5" x14ac:dyDescent="0.25">
      <c r="B16" s="3"/>
      <c r="C16" s="3"/>
      <c r="D16" s="3"/>
      <c r="E16" s="3"/>
    </row>
    <row r="17" spans="1:5" ht="14.45" customHeight="1" x14ac:dyDescent="0.25">
      <c r="A17" s="1">
        <v>6</v>
      </c>
      <c r="B17" s="187" t="s">
        <v>195</v>
      </c>
      <c r="C17" s="187"/>
      <c r="D17" s="187"/>
      <c r="E17" s="187"/>
    </row>
    <row r="18" spans="1:5" x14ac:dyDescent="0.25">
      <c r="B18" s="10"/>
      <c r="C18" s="10"/>
      <c r="D18" s="10"/>
      <c r="E18" s="10"/>
    </row>
    <row r="19" spans="1:5" ht="33" customHeight="1" x14ac:dyDescent="0.25">
      <c r="A19" s="1">
        <v>7</v>
      </c>
      <c r="B19" s="187" t="s">
        <v>37</v>
      </c>
      <c r="C19" s="187"/>
      <c r="D19" s="187"/>
      <c r="E19" s="187"/>
    </row>
    <row r="20" spans="1:5" ht="14.25" customHeight="1" x14ac:dyDescent="0.25">
      <c r="B20" s="7"/>
      <c r="C20" s="7"/>
      <c r="D20" s="7"/>
      <c r="E20" s="7"/>
    </row>
    <row r="21" spans="1:5" ht="47.25" customHeight="1" x14ac:dyDescent="0.25">
      <c r="A21" s="1">
        <v>8</v>
      </c>
      <c r="B21" s="187" t="s">
        <v>38</v>
      </c>
      <c r="C21" s="187"/>
      <c r="D21" s="187"/>
      <c r="E21" s="187"/>
    </row>
    <row r="22" spans="1:5" ht="15" customHeight="1" x14ac:dyDescent="0.25">
      <c r="B22" s="7"/>
      <c r="C22" s="7"/>
      <c r="D22" s="7"/>
      <c r="E22" s="7"/>
    </row>
    <row r="23" spans="1:5" ht="32.25" customHeight="1" x14ac:dyDescent="0.25">
      <c r="A23" s="1">
        <v>9</v>
      </c>
      <c r="B23" s="187" t="s">
        <v>36</v>
      </c>
      <c r="C23" s="187"/>
      <c r="D23" s="187"/>
      <c r="E23" s="187"/>
    </row>
    <row r="24" spans="1:5" ht="15" customHeight="1" x14ac:dyDescent="0.25">
      <c r="B24" s="7"/>
      <c r="C24" s="7"/>
      <c r="D24" s="7"/>
      <c r="E24" s="7"/>
    </row>
    <row r="25" spans="1:5" ht="33" customHeight="1" x14ac:dyDescent="0.25">
      <c r="A25" s="1">
        <v>10</v>
      </c>
      <c r="B25" s="187" t="s">
        <v>39</v>
      </c>
      <c r="C25" s="187"/>
      <c r="D25" s="187"/>
      <c r="E25" s="187"/>
    </row>
    <row r="26" spans="1:5" x14ac:dyDescent="0.25">
      <c r="B26" s="3"/>
      <c r="C26" s="3"/>
      <c r="D26" s="3"/>
      <c r="E26" s="3"/>
    </row>
    <row r="27" spans="1:5" ht="30" customHeight="1" x14ac:dyDescent="0.25">
      <c r="A27" s="1">
        <v>11</v>
      </c>
      <c r="B27" s="187" t="s">
        <v>40</v>
      </c>
      <c r="C27" s="187"/>
      <c r="D27" s="187"/>
      <c r="E27" s="187"/>
    </row>
    <row r="28" spans="1:5" x14ac:dyDescent="0.25">
      <c r="B28" s="3"/>
      <c r="C28" s="3"/>
      <c r="D28" s="3"/>
      <c r="E28" s="3"/>
    </row>
    <row r="29" spans="1:5" ht="31.5" customHeight="1" x14ac:dyDescent="0.25">
      <c r="A29" s="1">
        <v>12</v>
      </c>
      <c r="B29" s="187" t="s">
        <v>41</v>
      </c>
      <c r="C29" s="187"/>
      <c r="D29" s="187"/>
      <c r="E29" s="187"/>
    </row>
    <row r="30" spans="1:5" x14ac:dyDescent="0.25">
      <c r="B30" s="7"/>
      <c r="C30" s="7"/>
      <c r="D30" s="7"/>
      <c r="E30" s="7"/>
    </row>
    <row r="31" spans="1:5" ht="34.5" customHeight="1" x14ac:dyDescent="0.25">
      <c r="A31" s="1">
        <v>13</v>
      </c>
      <c r="B31" s="187" t="s">
        <v>18</v>
      </c>
      <c r="C31" s="187"/>
      <c r="D31" s="187"/>
      <c r="E31" s="187"/>
    </row>
    <row r="32" spans="1:5" ht="16.5" customHeight="1" x14ac:dyDescent="0.25">
      <c r="B32" s="3"/>
      <c r="C32" s="3"/>
      <c r="D32" s="3"/>
      <c r="E32" s="3"/>
    </row>
    <row r="33" spans="1:5" ht="64.5" customHeight="1" x14ac:dyDescent="0.25">
      <c r="A33" s="1">
        <v>14</v>
      </c>
      <c r="B33" s="187" t="s">
        <v>19</v>
      </c>
      <c r="C33" s="187"/>
      <c r="D33" s="187"/>
      <c r="E33" s="187"/>
    </row>
    <row r="34" spans="1:5" ht="14.25" customHeight="1" x14ac:dyDescent="0.25">
      <c r="B34" s="3"/>
      <c r="C34" s="3"/>
      <c r="D34" s="3"/>
      <c r="E34" s="3"/>
    </row>
    <row r="35" spans="1:5" x14ac:dyDescent="0.25">
      <c r="A35" s="1">
        <v>15</v>
      </c>
      <c r="B35" s="191" t="s">
        <v>33</v>
      </c>
      <c r="C35" s="191"/>
      <c r="D35" s="191"/>
      <c r="E35" s="191"/>
    </row>
    <row r="36" spans="1:5" x14ac:dyDescent="0.25">
      <c r="B36" s="16" t="s">
        <v>7</v>
      </c>
      <c r="C36" s="192" t="s">
        <v>20</v>
      </c>
      <c r="D36" s="192"/>
      <c r="E36" s="192"/>
    </row>
    <row r="37" spans="1:5" x14ac:dyDescent="0.25">
      <c r="B37" s="5" t="s">
        <v>21</v>
      </c>
      <c r="C37" s="193" t="s">
        <v>28</v>
      </c>
      <c r="D37" s="193"/>
      <c r="E37" s="193"/>
    </row>
    <row r="38" spans="1:5" x14ac:dyDescent="0.25">
      <c r="B38" s="16" t="s">
        <v>22</v>
      </c>
      <c r="C38" s="192" t="s">
        <v>29</v>
      </c>
      <c r="D38" s="192"/>
      <c r="E38" s="192"/>
    </row>
    <row r="39" spans="1:5" x14ac:dyDescent="0.25">
      <c r="B39" s="5" t="s">
        <v>23</v>
      </c>
      <c r="C39" s="193" t="s">
        <v>32</v>
      </c>
      <c r="D39" s="193"/>
      <c r="E39" s="193"/>
    </row>
    <row r="40" spans="1:5" x14ac:dyDescent="0.25">
      <c r="B40" s="16" t="s">
        <v>9</v>
      </c>
      <c r="C40" s="192" t="s">
        <v>30</v>
      </c>
      <c r="D40" s="192"/>
      <c r="E40" s="192"/>
    </row>
    <row r="41" spans="1:5" x14ac:dyDescent="0.25">
      <c r="B41" s="5" t="s">
        <v>8</v>
      </c>
      <c r="C41" s="193" t="s">
        <v>24</v>
      </c>
      <c r="D41" s="193"/>
      <c r="E41" s="193"/>
    </row>
    <row r="42" spans="1:5" x14ac:dyDescent="0.25">
      <c r="B42" s="16" t="s">
        <v>25</v>
      </c>
      <c r="C42" s="192" t="s">
        <v>26</v>
      </c>
      <c r="D42" s="192"/>
      <c r="E42" s="192"/>
    </row>
    <row r="43" spans="1:5" x14ac:dyDescent="0.25">
      <c r="B43" s="5" t="s">
        <v>27</v>
      </c>
      <c r="C43" s="193" t="s">
        <v>31</v>
      </c>
      <c r="D43" s="193"/>
      <c r="E43" s="193"/>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2" t="s">
        <v>66</v>
      </c>
      <c r="D46" s="192"/>
      <c r="E46" s="192"/>
    </row>
    <row r="47" spans="1:5" s="17" customFormat="1" x14ac:dyDescent="0.25">
      <c r="A47" s="18"/>
      <c r="B47" s="20" t="s">
        <v>50</v>
      </c>
      <c r="C47" s="193" t="s">
        <v>65</v>
      </c>
      <c r="D47" s="193"/>
      <c r="E47" s="193"/>
    </row>
    <row r="48" spans="1:5" s="17" customFormat="1" ht="48.75" customHeight="1" x14ac:dyDescent="0.25">
      <c r="A48" s="18"/>
      <c r="B48" s="16" t="s">
        <v>51</v>
      </c>
      <c r="C48" s="192" t="s">
        <v>68</v>
      </c>
      <c r="D48" s="192"/>
      <c r="E48" s="192"/>
    </row>
    <row r="49" spans="1:5" s="17" customFormat="1" ht="29.25" customHeight="1" x14ac:dyDescent="0.25">
      <c r="A49" s="18"/>
      <c r="B49" s="20" t="s">
        <v>52</v>
      </c>
      <c r="C49" s="193" t="s">
        <v>67</v>
      </c>
      <c r="D49" s="193"/>
      <c r="E49" s="193"/>
    </row>
    <row r="50" spans="1:5" x14ac:dyDescent="0.25">
      <c r="B50" s="5"/>
      <c r="C50" s="6"/>
      <c r="D50" s="6"/>
      <c r="E50" s="6"/>
    </row>
    <row r="51" spans="1:5" ht="94.5" customHeight="1" x14ac:dyDescent="0.25">
      <c r="A51" s="1">
        <v>17</v>
      </c>
      <c r="B51" s="190" t="s">
        <v>194</v>
      </c>
      <c r="C51" s="190"/>
      <c r="D51" s="190"/>
      <c r="E51" s="190"/>
    </row>
    <row r="53" spans="1:5" x14ac:dyDescent="0.25">
      <c r="B53" s="2"/>
    </row>
    <row r="54" spans="1:5" x14ac:dyDescent="0.25">
      <c r="A54" s="189" t="s">
        <v>34</v>
      </c>
      <c r="B54" s="189"/>
      <c r="C54" s="189"/>
      <c r="D54" s="189"/>
      <c r="E54" s="189"/>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2018-01-29T14:54:40Z</cp:lastPrinted>
  <dcterms:created xsi:type="dcterms:W3CDTF">2013-05-11T20:19:37Z</dcterms:created>
  <dcterms:modified xsi:type="dcterms:W3CDTF">2019-01-09T19:45:06Z</dcterms:modified>
</cp:coreProperties>
</file>