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Transactions'!$A$1:$T$41</definedName>
    <definedName name="Query_from_MS_Access_Database" localSheetId="0" hidden="1">'Federal Funds Transactions'!$A$15:$S$25</definedName>
    <definedName name="Query_from_MS_Access_Database" localSheetId="1" hidden="1">'Regional Loans and Transfers'!$A$11:$S$70</definedName>
    <definedName name="Query_from_MS_Access_Database_1" localSheetId="0" hidden="1">'Federal Funds Transactions'!$A$30:$S$31</definedName>
    <definedName name="Query_from_MS_Access_Database_1" localSheetId="1" hidden="1">'Regional Loans and Transfers'!$A$73:$R$133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T16" i="1"/>
  <c r="U16" i="1" s="1"/>
  <c r="U17" i="1" s="1"/>
  <c r="U18" i="1" s="1"/>
  <c r="U19" i="1" s="1"/>
  <c r="U20" i="1" s="1"/>
  <c r="U21" i="1" s="1"/>
  <c r="U22" i="1" s="1"/>
  <c r="U23" i="1" s="1"/>
  <c r="U24" i="1" s="1"/>
  <c r="U25" i="1" s="1"/>
  <c r="T17" i="1"/>
  <c r="T18" i="1"/>
  <c r="T19" i="1"/>
  <c r="T20" i="1"/>
  <c r="T21" i="1"/>
  <c r="T22" i="1"/>
  <c r="T23" i="1"/>
  <c r="T24" i="1"/>
  <c r="T25" i="1"/>
  <c r="I31" i="1"/>
  <c r="T31" i="1"/>
  <c r="U31" i="1" l="1"/>
  <c r="Q5" i="1"/>
  <c r="R5"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9" i="1" l="1"/>
  <c r="N32" i="1"/>
  <c r="O32" i="1"/>
  <c r="P32" i="1"/>
  <c r="Q32" i="1"/>
  <c r="R32" i="1"/>
  <c r="S32" i="1"/>
  <c r="N26" i="1"/>
  <c r="O26" i="1"/>
  <c r="P26" i="1"/>
  <c r="Q26" i="1"/>
  <c r="R26" i="1"/>
  <c r="S26" i="1"/>
  <c r="S34" i="1" l="1"/>
  <c r="O34" i="1"/>
  <c r="R34" i="1"/>
  <c r="Q34" i="1"/>
  <c r="P34" i="1"/>
  <c r="T26" i="1"/>
  <c r="N34" i="1"/>
  <c r="T4" i="1"/>
  <c r="T5" i="1"/>
  <c r="T6" i="1" l="1"/>
  <c r="T9" i="1"/>
  <c r="T10" i="1"/>
  <c r="T7" i="1"/>
  <c r="T11" i="1"/>
  <c r="N12" i="1"/>
  <c r="N27" i="1" s="1"/>
  <c r="T8" i="1"/>
  <c r="T32" i="1" l="1"/>
  <c r="T34" i="1" s="1"/>
  <c r="R39" i="1"/>
  <c r="Q39" i="1"/>
  <c r="P39" i="1"/>
  <c r="O39" i="1"/>
  <c r="R12" i="1" l="1"/>
  <c r="Q12" i="1"/>
  <c r="Q27" i="1" l="1"/>
  <c r="R27" i="1"/>
  <c r="R33" i="1" s="1"/>
  <c r="U39" i="1"/>
  <c r="N39" i="1"/>
  <c r="T39" i="1" s="1"/>
  <c r="Q33" i="1" l="1"/>
  <c r="Q38" i="1" s="1"/>
  <c r="U5" i="1"/>
  <c r="Q41" i="1" l="1"/>
  <c r="Q40" i="1"/>
  <c r="D11" i="2"/>
  <c r="D13" i="2" s="1"/>
  <c r="B5" i="3" l="1"/>
  <c r="A7" i="3" l="1"/>
  <c r="P12" i="1" l="1"/>
  <c r="P27" i="1" l="1"/>
  <c r="P33" i="1" l="1"/>
  <c r="P38" i="1" s="1"/>
  <c r="A1" i="3"/>
  <c r="P40" i="1" l="1"/>
  <c r="P41" i="1"/>
  <c r="O12" i="1"/>
  <c r="O27" i="1" s="1"/>
  <c r="O33" i="1" l="1"/>
  <c r="O38" i="1" s="1"/>
  <c r="O41" i="1" s="1"/>
  <c r="S12" i="1"/>
  <c r="T12" i="1" s="1"/>
  <c r="T27" i="1" s="1"/>
  <c r="T33" i="1" s="1"/>
  <c r="O40" i="1" l="1"/>
  <c r="R38" i="1"/>
  <c r="R41" i="1" s="1"/>
  <c r="S27" i="1"/>
  <c r="S33" i="1" s="1"/>
  <c r="S38" i="1" s="1"/>
  <c r="N33" i="1"/>
  <c r="N38" i="1" s="1"/>
  <c r="U12" i="1"/>
  <c r="U38" i="1" l="1"/>
  <c r="N41" i="1"/>
  <c r="T38" i="1"/>
  <c r="S41" i="1"/>
  <c r="S40" i="1"/>
  <c r="R40" i="1"/>
  <c r="N40" i="1"/>
  <c r="T40" i="1" l="1"/>
  <c r="U40"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<sst xmlns="http://schemas.openxmlformats.org/spreadsheetml/2006/main" count="1158" uniqueCount="267">
  <si>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</si>
  <si>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</si>
  <si>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</si>
  <si>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</si>
  <si>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</si>
  <si>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</si>
  <si>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</si>
  <si>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</si>
  <si>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</si>
  <si>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</si>
  <si>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</si>
  <si>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</si>
  <si>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</si>
  <si>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</si>
  <si>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</si>
  <si>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</si>
  <si>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</si>
  <si>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</si>
  <si>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</si>
  <si>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</si>
  <si>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</si>
  <si>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</si>
  <si>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</si>
  <si>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</si>
  <si>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</si>
  <si>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</si>
  <si>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</si>
  <si>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</si>
  <si>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</si>
  <si>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</si>
  <si>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</si>
  <si>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</si>
  <si>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</si>
  <si>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</si>
  <si>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</si>
  <si>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</si>
  <si>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</si>
  <si>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</si>
  <si>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</si>
  <si>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</si>
  <si>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</si>
  <si>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</si>
  <si>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</si>
  <si>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</si>
  <si>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</si>
  <si>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</si>
  <si>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</si>
  <si>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</si>
  <si>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</si>
  <si>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</si>
  <si>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</si>
  <si>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</si>
  <si>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</si>
  <si>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</si>
  <si>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</si>
  <si>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</si>
  <si>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</si>
  <si>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</si>
  <si>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</si>
  <si>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</si>
  <si>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</si>
  <si>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</si>
  <si>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</si>
  <si>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</si>
  <si>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</si>
  <si>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</si>
  <si>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</si>
  <si>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</si>
  <si>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</si>
  <si>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</si>
  <si>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</si>
  <si>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</si>
  <si>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</si>
  <si>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</si>
  <si>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</si>
  <si>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</si>
  <si>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</si>
  <si>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</si>
  <si>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</si>
  <si>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</si>
  <si>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</si>
  <si>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</si>
  <si>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</si>
  <si>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</si>
  <si>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</si>
  <si>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</si>
  <si>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</si>
  <si>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</si>
  <si>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</si>
  <si>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</si>
  <si>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</si>
  <si>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</si>
  <si>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</si>
  <si>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</si>
  <si>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</si>
  <si>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</si>
  <si>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</si>
  <si>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</si>
  <si>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</si>
  <si>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</si>
  <si>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</si>
  <si>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</si>
  <si>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</si>
  <si>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</si>
  <si>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</si>
  <si>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</si>
  <si>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</si>
  <si>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</si>
  <si>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</si>
  <si>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</si>
  <si>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</si>
  <si>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</si>
  <si>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</si>
  <si>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</si>
  <si>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</si>
  <si>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</si>
  <si>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</si>
  <si>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</si>
  <si>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</si>
  <si>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</si>
  <si>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</si>
  <si>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</si>
  <si>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</si>
  <si>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</si>
  <si>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</si>
  <si>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</si>
  <si>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</si>
  <si>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</si>
  <si>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</si>
  <si>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</si>
  <si>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</si>
  <si>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</si>
  <si>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</si>
  <si>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</si>
  <si>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</si>
  <si>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</si>
  <si>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</si>
  <si>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</si>
  <si>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</si>
  <si>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</si>
  <si>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</si>
  <si>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</si>
  <si>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</si>
  <si>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</si>
  <si>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</si>
  <si>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</si>
  <si>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</si>
  <si>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</si>
  <si>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</si>
  <si>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</si>
  <si>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</si>
  <si>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</si>
  <si>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</si>
  <si>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</si>
  <si>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</si>
  <si>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</si>
  <si>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</si>
  <si>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</si>
  <si>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</si>
  <si>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</si>
  <si>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</si>
  <si>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</si>
  <si>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</si>
  <si>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</si>
  <si>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</si>
  <si>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</si>
  <si>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</si>
  <si>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</si>
  <si>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</si>
  <si>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</si>
  <si>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</si>
  <si>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</si>
  <si>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</si>
  <si>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</si>
  <si>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</si>
  <si>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</si>
  <si>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</si>
  <si>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</si>
  <si>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</si>
  <si>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</si>
  <si>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</si>
  <si>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</si>
  <si>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</si>
  <si>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</si>
  <si>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</si>
  <si>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</si>
  <si>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</si>
  <si>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</si>
  <si>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</si>
  <si>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</si>
  <si>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</si>
  <si>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</si>
  <si>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</si>
  <si>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</si>
  <si>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</si>
  <si>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</si>
  <si>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</si>
  <si>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</si>
  <si>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</si>
  <si>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</si>
  <si>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</si>
  <si>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</si>
  <si>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</si>
  <si>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</si>
  <si>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</si>
  <si>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</si>
  <si>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</si>
  <si>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</si>
  <si>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</si>
  <si>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</si>
  <si>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</si>
  <si>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</si>
  <si>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</si>
  <si>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</si>
  <si>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</si>
  <si>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</si>
  <si>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</si>
  <si>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</si>
  <si>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</si>
  <si>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</si>
  <si>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</si>
  <si>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</si>
  <si>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</si>
  <si>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</si>
  <si>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</si>
  <si>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</si>
  <si>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</si>
  <si>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</si>
  <si>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</si>
  <si>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</si>
  <si>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</si>
  <si>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</si>
  <si>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</si>
  <si>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</si>
  <si>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</si>
  <si>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</si>
  <si>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</si>
  <si>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</si>
  <si>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</si>
  <si>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</si>
  <si>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</si>
  <si>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</si>
  <si>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</si>
  <si>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</si>
  <si>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</si>
  <si>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</si>
  <si>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</si>
  <si>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</si>
  <si>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</si>
  <si>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</si>
  <si>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</si>
  <si>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</si>
  <si>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PWG1801P</t>
  </si>
  <si>
    <t>N/A</t>
  </si>
  <si>
    <t>WACOG 2018 WP - SPR</t>
  </si>
  <si>
    <t>018</t>
  </si>
  <si>
    <t>T009501D</t>
  </si>
  <si>
    <t>MMO 17-102D</t>
  </si>
  <si>
    <t>PIERCE FERRY RD - LLOYD ST TO IRONWOOD DR</t>
  </si>
  <si>
    <t>217</t>
  </si>
  <si>
    <t>WACGOSEAGO-19L1</t>
  </si>
  <si>
    <t>SZ02701C</t>
  </si>
  <si>
    <t>WACOG STBGP Loan to SEAGO</t>
  </si>
  <si>
    <t>WACOGADOT-19L1</t>
  </si>
  <si>
    <t>PIERCE FERRY RD</t>
  </si>
  <si>
    <t>WACOG STBGP Loan to ADOT</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</si>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</sst>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43" fontId="40" fillId="0" borderId="0" xfId="3" applyFont="1"/>
    <xf numFmtId="0" fontId="41" fillId="0" borderId="0" xfId="0"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5" tableType="queryTable" totalsRowShown="0" headerRowDxfId="90" dataDxfId="89" tableBorderDxfId="88">
  <autoFilter ref="A15:U25"/>
  <tableColumns count="21">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1" uniqueName="21" name="Fed #" queryTableFieldId="21" dataDxfId="49">
      <calculatedColumnFormula>CONCATENATE(Table_Query_from_MS_Access_Database8[RTE],Table_Query_from_MS_Access_Database8[SEC],Table_Query_from_MS_Access_Database8[SEQ])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SPR" queryTableFieldId="15" dataDxfId="42"/>
    <tableColumn id="16" uniqueName="16" name="STP &lt;5" queryTableFieldId="16" dataDxfId="41"/>
    <tableColumn id="17" uniqueName="17" name="STP 5-200" queryTableFieldId="17" dataDxfId="40"/>
    <tableColumn id="18" uniqueName="18" name="STP OTHER" queryTableFieldId="18" dataDxfId="39"/>
    <tableColumn id="19" uniqueName="19" name="TOTAL OF AMOUNT" queryTableFieldId="20" dataDxfId="38">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U31" tableType="queryTable" totalsRowShown="0" headerRowDxfId="87" dataDxfId="86">
  <autoFilter ref="A30:U31"/>
  <tableColumns count="21">
    <tableColumn id="1" uniqueName="1" name="ADOT#" queryTableFieldId="1" dataDxfId="78"/>
    <tableColumn id="2" uniqueName="2" name="TIP#" queryTableFieldId="2" dataDxfId="77"/>
    <tableColumn id="3" uniqueName="3" name="Sponsor" queryTableFieldId="3" dataDxfId="76"/>
    <tableColumn id="4" uniqueName="4" name="Action/15" queryTableFieldId="4" dataDxfId="75"/>
    <tableColumn id="5" uniqueName="5" name="Location" queryTableFieldId="5" dataDxfId="74"/>
    <tableColumn id="6" uniqueName="6" name="RTE" queryTableFieldId="6" dataDxfId="73"/>
    <tableColumn id="7" uniqueName="7" name="SEC" queryTableFieldId="7" dataDxfId="72"/>
    <tableColumn id="8" uniqueName="8" name="SEQ" queryTableFieldId="8" dataDxfId="71"/>
    <tableColumn id="21" uniqueName="21" name="Fed #" queryTableFieldId="21" dataDxfId="70">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HSIP" queryTableFieldId="14" dataDxfId="64"/>
    <tableColumn id="15" uniqueName="15" name="SPR" queryTableFieldId="15" dataDxfId="63"/>
    <tableColumn id="16" uniqueName="16" name="STP &lt;5" queryTableFieldId="16" dataDxfId="62"/>
    <tableColumn id="17" uniqueName="17" name="STP 5-200" queryTableFieldId="17" dataDxfId="61"/>
    <tableColumn id="18" uniqueName="18" name="STP OTHER" queryTableFieldId="18" dataDxfId="60"/>
    <tableColumn id="19" uniqueName="19" name="TOTAL OF AMOUNT" queryTableFieldId="20" dataDxfId="59">
      <calculatedColumnFormula>SUM(Table_Query_from_MS_Access_Database_1[[#This Row],[HURF EX]:[STP OTHER]])</calculatedColumnFormula>
    </tableColumn>
    <tableColumn id="20" uniqueName="20" name="EXPECTED DECLINING BALANCE OA" queryTableFieldId="19" dataDxfId="58">
      <calculatedColumnFormula>U25-Table_Query_from_MS_Access_Database_1[TOTAL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70" tableType="queryTable" totalsRowShown="0" headerRowDxfId="85" headerRowBorderDxfId="84" tableBorderDxfId="83" totalsRowBorderDxfId="82" headerRowCellStyle="Comma" dataCellStyle="Comma">
  <autoFilter ref="A11:S70"/>
  <tableColumns count="19">
    <tableColumn id="24" uniqueName="24" name="Transaction Year" queryTableFieldId="1" dataDxfId="19" dataCellStyle="Comma"/>
    <tableColumn id="25" uniqueName="25" name="Transaction Type" queryTableFieldId="2" dataDxfId="18" dataCellStyle="Comma"/>
    <tableColumn id="26" uniqueName="26" name="Number" queryTableFieldId="3" dataDxfId="17" dataCellStyle="Comma"/>
    <tableColumn id="27" uniqueName="27" name="From" queryTableFieldId="4" dataDxfId="16" dataCellStyle="Comma"/>
    <tableColumn id="28" uniqueName="28" name="To" queryTableFieldId="5" dataDxfId="15" dataCellStyle="Comma"/>
    <tableColumn id="29" uniqueName="29" name="Repayment Year" queryTableFieldId="6" dataDxfId="14" dataCellStyle="Comma"/>
    <tableColumn id="30" uniqueName="30" name="Project8" queryTableFieldId="7" dataDxfId="13" dataCellStyle="Comma"/>
    <tableColumn id="31" uniqueName="31" name="Notes" queryTableFieldId="8" dataDxfId="12" dataCellStyle="Comma"/>
    <tableColumn id="32" uniqueName="32" name="Total" queryTableFieldId="9" dataDxfId="11" dataCellStyle="Comma"/>
    <tableColumn id="33" uniqueName="33" name="HURF Exchange" queryTableFieldId="10" dataDxfId="10" dataCellStyle="Comma"/>
    <tableColumn id="34" uniqueName="34" name="HSIP" queryTableFieldId="11" dataDxfId="9" dataCellStyle="Comma"/>
    <tableColumn id="35" uniqueName="35" name="SPR" queryTableFieldId="12" dataDxfId="8" dataCellStyle="Comma"/>
    <tableColumn id="36" uniqueName="36" name="STP &lt;5" queryTableFieldId="13" dataDxfId="7" dataCellStyle="Comma"/>
    <tableColumn id="37" uniqueName="37" name="STP 5-2" queryTableFieldId="14" dataDxfId="6" dataCellStyle="Comma"/>
    <tableColumn id="38" uniqueName="38" name="STP Flex" queryTableFieldId="15" dataDxfId="5" dataCellStyle="Comma"/>
    <tableColumn id="39" uniqueName="39" name="TAP &lt;5" queryTableFieldId="16" dataDxfId="4" dataCellStyle="Comma"/>
    <tableColumn id="40" uniqueName="40" name="TAP 5-2" queryTableFieldId="17" dataDxfId="3" dataCellStyle="Comma"/>
    <tableColumn id="42" uniqueName="42" name="TAP 5-3" queryTableFieldId="19" dataDxfId="2" dataCellStyle="Comma"/>
    <tableColumn id="41" uniqueName="41" name="TAP Flex" queryTableFieldId="18"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3:R133" tableType="queryTable" totalsRowShown="0" headerRowDxfId="81" dataDxfId="80" tableBorderDxfId="79" headerRowCellStyle="Comma" dataCellStyle="Comma">
  <autoFilter ref="A73:R133"/>
  <tableColumns count="18">
    <tableColumn id="2" uniqueName="2" name="Transaction Year" queryTableFieldId="1" dataDxfId="37" dataCellStyle="Comma"/>
    <tableColumn id="3" uniqueName="3" name="Transaction Type" queryTableFieldId="2" dataDxfId="36" dataCellStyle="Comma"/>
    <tableColumn id="4" uniqueName="4" name="Number" queryTableFieldId="3" dataDxfId="35" dataCellStyle="Comma"/>
    <tableColumn id="5" uniqueName="5" name="From" queryTableFieldId="4" dataDxfId="34" dataCellStyle="Comma"/>
    <tableColumn id="6" uniqueName="6" name="To" queryTableFieldId="5" dataDxfId="33" dataCellStyle="Comma"/>
    <tableColumn id="7" uniqueName="7" name="Repayment Year" queryTableFieldId="6" dataDxfId="32" dataCellStyle="Comma"/>
    <tableColumn id="8" uniqueName="8" name="Project8" queryTableFieldId="7" dataDxfId="31" dataCellStyle="Comma"/>
    <tableColumn id="9" uniqueName="9" name="Notes" queryTableFieldId="8" dataDxfId="30" dataCellStyle="Comma"/>
    <tableColumn id="10" uniqueName="10" name="Total" queryTableFieldId="9" dataDxfId="29" dataCellStyle="Comma"/>
    <tableColumn id="11" uniqueName="11" name="HURF Exchange" queryTableFieldId="10" dataDxfId="28" dataCellStyle="Comma"/>
    <tableColumn id="12" uniqueName="12" name="HSIP" queryTableFieldId="11" dataDxfId="27" dataCellStyle="Comma"/>
    <tableColumn id="13" uniqueName="13" name="SPR" queryTableFieldId="12" dataDxfId="26" dataCellStyle="Comma"/>
    <tableColumn id="14" uniqueName="14" name="STP &lt;5" queryTableFieldId="13" dataDxfId="25" dataCellStyle="Comma"/>
    <tableColumn id="15" uniqueName="15" name="STP 5-2" queryTableFieldId="14" dataDxfId="24" dataCellStyle="Comma"/>
    <tableColumn id="16" uniqueName="16" name="STP Flex" queryTableFieldId="15" dataDxfId="23" dataCellStyle="Comma"/>
    <tableColumn id="17" uniqueName="17" name="TAP &lt;5" queryTableFieldId="16" dataDxfId="22" dataCellStyle="Comma"/>
    <tableColumn id="18" uniqueName="18" name="TAP 5-2" queryTableFieldId="17" dataDxfId="21" dataCellStyle="Comma"/>
    <tableColumn id="19" uniqueName="19" name="TAP Flex" queryTableFieldId="18"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1"/>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76" t="s">
        <v>123</v>
      </c>
      <c r="B1" s="176"/>
      <c r="C1" s="176"/>
      <c r="D1" s="176"/>
      <c r="E1" s="176"/>
      <c r="F1" s="176"/>
      <c r="J1" s="34"/>
      <c r="K1" s="35"/>
      <c r="L1" s="34"/>
      <c r="M1" s="53"/>
      <c r="N1" s="186" t="s">
        <v>77</v>
      </c>
      <c r="O1" s="186"/>
      <c r="P1" s="186"/>
      <c r="Q1" s="186"/>
      <c r="R1" s="186"/>
      <c r="S1" s="186"/>
      <c r="T1" s="186"/>
    </row>
    <row r="2" spans="1:21" ht="17.25" customHeight="1" thickBot="1" x14ac:dyDescent="0.3">
      <c r="J2" s="34"/>
      <c r="K2" s="34"/>
      <c r="L2" s="34"/>
      <c r="M2" s="53"/>
      <c r="N2" s="183" t="s">
        <v>12</v>
      </c>
      <c r="O2" s="184"/>
      <c r="P2" s="184"/>
      <c r="Q2" s="184"/>
      <c r="R2" s="184"/>
      <c r="S2" s="184"/>
      <c r="T2" s="185"/>
    </row>
    <row r="3" spans="1:21" ht="27.6" customHeight="1" x14ac:dyDescent="0.25">
      <c r="A3" s="179" t="s">
        <v>80</v>
      </c>
      <c r="B3" s="179"/>
      <c r="C3" s="179"/>
      <c r="D3" s="179"/>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78" t="s">
        <v>213</v>
      </c>
      <c r="B4" s="178"/>
      <c r="C4" s="178"/>
      <c r="D4" s="178"/>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43677</v>
      </c>
      <c r="J5" s="34"/>
      <c r="K5" s="34"/>
      <c r="L5" s="34"/>
      <c r="M5" s="87" t="s">
        <v>101</v>
      </c>
      <c r="N5" s="39">
        <v>0</v>
      </c>
      <c r="O5" s="79">
        <v>0</v>
      </c>
      <c r="P5" s="40">
        <v>175000</v>
      </c>
      <c r="Q5" s="40">
        <f>437733-239000-117862.65-47150</f>
        <v>33720.350000000006</v>
      </c>
      <c r="R5" s="40">
        <f>522552+239000+117862.65</f>
        <v>879414.65</v>
      </c>
      <c r="S5" s="40">
        <v>47150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-207994.35</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-118377</v>
      </c>
      <c r="S7" s="98">
        <f>SUMIFS(Table_Query_from_MS_Access_Database[[#All],[STP Flex]],Table_Query_from_MS_Access_Database[[#All],[Transaction Year]],"2019",Table_Query_from_MS_Access_Database[[#All],[Transaction Type]],"loan Out")</f>
        <v>0</v>
      </c>
      <c r="T7" s="41">
        <f t="shared" si="0"/>
        <v>-326371.34999999998</v>
      </c>
      <c r="U7" s="133">
        <f>SUMIFS(Table_Query_from_MS_Access_Database_16[[#All],[Total]],Table_Query_from_MS_Access_Database_16[[#All],[Transaction Year]],"2019",Table_Query_from_MS_Access_Database_16[[#All],[Transaction Type]],"Loan Out")</f>
        <v>-326371.34999999998</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78" t="s">
        <v>86</v>
      </c>
      <c r="B9" s="178"/>
      <c r="C9" s="178"/>
      <c r="D9" s="178"/>
      <c r="E9" s="178"/>
      <c r="F9" s="178"/>
      <c r="G9" s="178"/>
      <c r="H9" s="178"/>
      <c r="I9" s="178"/>
      <c r="J9" s="178"/>
      <c r="K9" s="178"/>
      <c r="L9" s="178"/>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 t="shared" ref="O12:S12" si="2">SUM(O4:O11)</f>
        <v>-207994.35</v>
      </c>
      <c r="P12" s="45">
        <f t="shared" si="2"/>
        <v>175000</v>
      </c>
      <c r="Q12" s="45">
        <f t="shared" si="2"/>
        <v>-347528.65</v>
      </c>
      <c r="R12" s="45">
        <f t="shared" si="2"/>
        <v>1845239.9700000002</v>
      </c>
      <c r="S12" s="45">
        <f t="shared" si="2"/>
        <v>47150</v>
      </c>
      <c r="T12" s="77">
        <f t="shared" si="0"/>
        <v>1854990.9700000002</v>
      </c>
      <c r="U12" s="134">
        <f>SUM(U4:U11)</f>
        <v>1783465.9700000002</v>
      </c>
    </row>
    <row r="13" spans="1:21" x14ac:dyDescent="0.25">
      <c r="J13" s="34"/>
      <c r="K13" s="34"/>
      <c r="L13" s="34"/>
      <c r="M13" s="34"/>
      <c r="N13" s="46"/>
      <c r="O13" s="47"/>
      <c r="P13" s="47"/>
      <c r="Q13" s="47"/>
      <c r="R13" s="47"/>
      <c r="S13" s="47"/>
      <c r="T13" s="42"/>
    </row>
    <row r="14" spans="1:21" ht="15.75" customHeight="1" x14ac:dyDescent="0.25">
      <c r="A14" s="177" t="s">
        <v>61</v>
      </c>
      <c r="B14" s="177"/>
      <c r="C14" s="177"/>
      <c r="D14" s="177"/>
      <c r="J14" s="180" t="s">
        <v>62</v>
      </c>
      <c r="K14" s="181"/>
      <c r="L14" s="181"/>
      <c r="M14" s="182"/>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1652215.9700000002</v>
      </c>
    </row>
    <row r="17" spans="1:21" s="55" customFormat="1" ht="27" x14ac:dyDescent="0.25">
      <c r="A17" s="159" t="s">
        <v>235</v>
      </c>
      <c r="B17" s="159" t="s">
        <v>236</v>
      </c>
      <c r="C17" s="159" t="s">
        <v>237</v>
      </c>
      <c r="D17" s="159" t="s">
        <v>7</v>
      </c>
      <c r="E17" s="160" t="s">
        <v>238</v>
      </c>
      <c r="F17" s="156" t="s">
        <v>239</v>
      </c>
      <c r="G17" s="156" t="s">
        <v>120</v>
      </c>
      <c r="H17" s="156" t="s">
        <v>241</v>
      </c>
      <c r="I17" s="161" t="str">
        <f>CONCATENATE(Table_Query_from_MS_Access_Database8[RTE],Table_Query_from_MS_Access_Database8[SEC],Table_Query_from_MS_Access_Database8[SEQ])</f>
        <v>CLC0HFX</v>
      </c>
      <c r="J17" s="157"/>
      <c r="K17" s="157">
        <v>43377</v>
      </c>
      <c r="L17" s="157"/>
      <c r="M17" s="157">
        <v>43378</v>
      </c>
      <c r="N17" s="162">
        <v>343124</v>
      </c>
      <c r="O17" s="162"/>
      <c r="P17" s="162"/>
      <c r="Q17" s="158"/>
      <c r="R17" s="158"/>
      <c r="S17" s="158"/>
      <c r="T17" s="158">
        <f>SUM(Table_Query_from_MS_Access_Database8[[#This Row],[HURF EX]:[STP OTHER]])</f>
        <v>343124</v>
      </c>
      <c r="U17" s="158">
        <f>U16-Table_Query_from_MS_Access_Database8[TOTAL OF AMOUNT]</f>
        <v>1309091.9700000002</v>
      </c>
    </row>
    <row r="18" spans="1:21" s="55" customFormat="1" ht="27" x14ac:dyDescent="0.25">
      <c r="A18" s="164" t="s">
        <v>235</v>
      </c>
      <c r="B18" s="164" t="s">
        <v>236</v>
      </c>
      <c r="C18" s="164" t="s">
        <v>237</v>
      </c>
      <c r="D18" s="164" t="s">
        <v>8</v>
      </c>
      <c r="E18" s="165" t="s">
        <v>238</v>
      </c>
      <c r="F18" s="138" t="s">
        <v>239</v>
      </c>
      <c r="G18" s="138" t="s">
        <v>120</v>
      </c>
      <c r="H18" s="138" t="s">
        <v>240</v>
      </c>
      <c r="I18" s="166"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58">
        <f>U17-Table_Query_from_MS_Access_Database8[TOTAL OF AMOUNT]</f>
        <v>1690341.9700000002</v>
      </c>
    </row>
    <row r="19" spans="1:21" s="55" customFormat="1" ht="27" x14ac:dyDescent="0.25">
      <c r="A19" s="164" t="s">
        <v>245</v>
      </c>
      <c r="B19" s="164" t="s">
        <v>246</v>
      </c>
      <c r="C19" s="164" t="s">
        <v>247</v>
      </c>
      <c r="D19" s="164" t="s">
        <v>8</v>
      </c>
      <c r="E19" s="165" t="s">
        <v>248</v>
      </c>
      <c r="F19" s="138" t="s">
        <v>249</v>
      </c>
      <c r="G19" s="138" t="s">
        <v>120</v>
      </c>
      <c r="H19" s="138" t="s">
        <v>250</v>
      </c>
      <c r="I19" s="166"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58">
        <f>U18-Table_Query_from_MS_Access_Database8[TOTAL OF AMOUNT]</f>
        <v>1923639.9700000002</v>
      </c>
    </row>
    <row r="20" spans="1:21" s="55" customFormat="1" ht="27" x14ac:dyDescent="0.25">
      <c r="A20" s="164" t="s">
        <v>227</v>
      </c>
      <c r="B20" s="164" t="s">
        <v>228</v>
      </c>
      <c r="C20" s="164" t="s">
        <v>118</v>
      </c>
      <c r="D20" s="164" t="s">
        <v>7</v>
      </c>
      <c r="E20" s="165" t="s">
        <v>229</v>
      </c>
      <c r="F20" s="138" t="s">
        <v>198</v>
      </c>
      <c r="G20" s="138" t="s">
        <v>120</v>
      </c>
      <c r="H20" s="138" t="s">
        <v>230</v>
      </c>
      <c r="I20" s="166" t="str">
        <f>CONCATENATE(Table_Query_from_MS_Access_Database8[RTE],Table_Query_from_MS_Access_Database8[SEC],Table_Query_from_MS_Access_Database8[SEQ])</f>
        <v>LHV0208</v>
      </c>
      <c r="J20" s="150">
        <v>43378</v>
      </c>
      <c r="K20" s="150">
        <v>43430</v>
      </c>
      <c r="L20" s="150">
        <v>43437</v>
      </c>
      <c r="M20" s="150">
        <v>43446</v>
      </c>
      <c r="N20" s="151"/>
      <c r="O20" s="151"/>
      <c r="P20" s="151"/>
      <c r="Q20" s="139"/>
      <c r="R20" s="139">
        <v>1840240</v>
      </c>
      <c r="S20" s="139"/>
      <c r="T20" s="139">
        <f>SUM(Table_Query_from_MS_Access_Database8[[#This Row],[HURF EX]:[STP OTHER]])</f>
        <v>1840240</v>
      </c>
      <c r="U20" s="158">
        <f>U19-Table_Query_from_MS_Access_Database8[TOTAL OF AMOUNT]</f>
        <v>83399.970000000205</v>
      </c>
    </row>
    <row r="21" spans="1:21" s="97" customFormat="1" ht="13.5" x14ac:dyDescent="0.25">
      <c r="A21" s="164" t="s">
        <v>195</v>
      </c>
      <c r="B21" s="164"/>
      <c r="C21" s="164" t="s">
        <v>118</v>
      </c>
      <c r="D21" s="164" t="s">
        <v>8</v>
      </c>
      <c r="E21" s="165" t="s">
        <v>196</v>
      </c>
      <c r="F21" s="138" t="s">
        <v>197</v>
      </c>
      <c r="G21" s="138" t="s">
        <v>107</v>
      </c>
      <c r="H21" s="138" t="s">
        <v>108</v>
      </c>
      <c r="I21" s="166" t="str">
        <f>CONCATENATE(Table_Query_from_MS_Access_Database8[RTE],Table_Query_from_MS_Access_Database8[SEC],Table_Query_from_MS_Access_Database8[SEQ])</f>
        <v>WACS019</v>
      </c>
      <c r="J21" s="150">
        <v>43405</v>
      </c>
      <c r="K21" s="150">
        <v>43434</v>
      </c>
      <c r="L21" s="150">
        <v>43445</v>
      </c>
      <c r="M21" s="150">
        <v>43447</v>
      </c>
      <c r="N21" s="151"/>
      <c r="O21" s="151"/>
      <c r="P21" s="151">
        <v>55303</v>
      </c>
      <c r="Q21" s="139"/>
      <c r="R21" s="139"/>
      <c r="S21" s="139"/>
      <c r="T21" s="139">
        <f>SUM(Table_Query_from_MS_Access_Database8[[#This Row],[HURF EX]:[STP OTHER]])</f>
        <v>55303</v>
      </c>
      <c r="U21" s="158">
        <f>U20-Table_Query_from_MS_Access_Database8[TOTAL OF AMOUNT]</f>
        <v>28096.970000000205</v>
      </c>
    </row>
    <row r="22" spans="1:21" s="97" customFormat="1" ht="13.5" x14ac:dyDescent="0.25">
      <c r="A22" s="164" t="s">
        <v>252</v>
      </c>
      <c r="B22" s="164" t="s">
        <v>253</v>
      </c>
      <c r="C22" s="164" t="s">
        <v>118</v>
      </c>
      <c r="D22" s="164" t="s">
        <v>8</v>
      </c>
      <c r="E22" s="165" t="s">
        <v>254</v>
      </c>
      <c r="F22" s="138" t="s">
        <v>197</v>
      </c>
      <c r="G22" s="138" t="s">
        <v>107</v>
      </c>
      <c r="H22" s="138" t="s">
        <v>255</v>
      </c>
      <c r="I22" s="166" t="str">
        <f>CONCATENATE(Table_Query_from_MS_Access_Database8[RTE],Table_Query_from_MS_Access_Database8[SEC],Table_Query_from_MS_Access_Database8[SEQ])</f>
        <v>WACS018</v>
      </c>
      <c r="J22" s="150">
        <v>43405</v>
      </c>
      <c r="K22" s="150">
        <v>43434</v>
      </c>
      <c r="L22" s="150">
        <v>43445</v>
      </c>
      <c r="M22" s="150">
        <v>43447</v>
      </c>
      <c r="N22" s="151"/>
      <c r="O22" s="151"/>
      <c r="P22" s="151">
        <v>-55303</v>
      </c>
      <c r="Q22" s="139"/>
      <c r="R22" s="139"/>
      <c r="S22" s="139"/>
      <c r="T22" s="139">
        <f>SUM(Table_Query_from_MS_Access_Database8[[#This Row],[HURF EX]:[STP OTHER]])</f>
        <v>-55303</v>
      </c>
      <c r="U22" s="158">
        <f>U21-Table_Query_from_MS_Access_Database8[TOTAL OF AMOUNT]</f>
        <v>83399.970000000205</v>
      </c>
    </row>
    <row r="23" spans="1:21" s="97" customFormat="1" ht="27" x14ac:dyDescent="0.25">
      <c r="A23" s="164" t="s">
        <v>227</v>
      </c>
      <c r="B23" s="164" t="s">
        <v>228</v>
      </c>
      <c r="C23" s="164" t="s">
        <v>118</v>
      </c>
      <c r="D23" s="164" t="s">
        <v>21</v>
      </c>
      <c r="E23" s="165" t="s">
        <v>229</v>
      </c>
      <c r="F23" s="138" t="s">
        <v>198</v>
      </c>
      <c r="G23" s="138" t="s">
        <v>120</v>
      </c>
      <c r="H23" s="138" t="s">
        <v>230</v>
      </c>
      <c r="I23" s="166" t="str">
        <f>CONCATENATE(Table_Query_from_MS_Access_Database8[RTE],Table_Query_from_MS_Access_Database8[SEC],Table_Query_from_MS_Access_Database8[SEQ])</f>
        <v>LHV0208</v>
      </c>
      <c r="J23" s="150"/>
      <c r="K23" s="150">
        <v>43552</v>
      </c>
      <c r="L23" s="150">
        <v>43560</v>
      </c>
      <c r="M23" s="150">
        <v>43563</v>
      </c>
      <c r="N23" s="151"/>
      <c r="O23" s="151"/>
      <c r="P23" s="151"/>
      <c r="Q23" s="139"/>
      <c r="R23" s="139">
        <v>-0.03</v>
      </c>
      <c r="S23" s="139"/>
      <c r="T23" s="139">
        <f>SUM(Table_Query_from_MS_Access_Database8[[#This Row],[HURF EX]:[STP OTHER]])</f>
        <v>-0.03</v>
      </c>
      <c r="U23" s="158">
        <f>U22-Table_Query_from_MS_Access_Database8[TOTAL OF AMOUNT]</f>
        <v>83400.000000000204</v>
      </c>
    </row>
    <row r="24" spans="1:21" s="97" customFormat="1" ht="27" x14ac:dyDescent="0.25">
      <c r="A24" s="164" t="s">
        <v>256</v>
      </c>
      <c r="B24" s="164" t="s">
        <v>257</v>
      </c>
      <c r="C24" s="164" t="s">
        <v>247</v>
      </c>
      <c r="D24" s="164" t="s">
        <v>8</v>
      </c>
      <c r="E24" s="165" t="s">
        <v>258</v>
      </c>
      <c r="F24" s="138" t="s">
        <v>249</v>
      </c>
      <c r="G24" s="138" t="s">
        <v>120</v>
      </c>
      <c r="H24" s="138" t="s">
        <v>259</v>
      </c>
      <c r="I24" s="166" t="str">
        <f>CONCATENATE(Table_Query_from_MS_Access_Database8[RTE],Table_Query_from_MS_Access_Database8[SEC],Table_Query_from_MS_Access_Database8[SEQ])</f>
        <v>MM00217</v>
      </c>
      <c r="J24" s="150">
        <v>43525</v>
      </c>
      <c r="K24" s="150">
        <v>43567</v>
      </c>
      <c r="L24" s="150">
        <v>43570</v>
      </c>
      <c r="M24" s="150">
        <v>43571</v>
      </c>
      <c r="N24" s="151"/>
      <c r="O24" s="151"/>
      <c r="P24" s="151"/>
      <c r="Q24" s="139"/>
      <c r="R24" s="139"/>
      <c r="S24" s="139">
        <v>47150</v>
      </c>
      <c r="T24" s="139">
        <f>SUM(Table_Query_from_MS_Access_Database8[[#This Row],[HURF EX]:[STP OTHER]])</f>
        <v>47150</v>
      </c>
      <c r="U24" s="158">
        <f>U23-Table_Query_from_MS_Access_Database8[TOTAL OF AMOUNT]</f>
        <v>36250.000000000204</v>
      </c>
    </row>
    <row r="25" spans="1:21" s="55" customFormat="1" ht="13.5" x14ac:dyDescent="0.25">
      <c r="A25" s="168" t="s">
        <v>223</v>
      </c>
      <c r="B25" s="168"/>
      <c r="C25" s="168" t="s">
        <v>118</v>
      </c>
      <c r="D25" s="168" t="s">
        <v>7</v>
      </c>
      <c r="E25" s="169" t="s">
        <v>224</v>
      </c>
      <c r="F25" s="170" t="s">
        <v>197</v>
      </c>
      <c r="G25" s="170" t="s">
        <v>107</v>
      </c>
      <c r="H25" s="170" t="s">
        <v>225</v>
      </c>
      <c r="I25" s="171" t="str">
        <f>CONCATENATE(Table_Query_from_MS_Access_Database8[RTE],Table_Query_from_MS_Access_Database8[SEC],Table_Query_from_MS_Access_Database8[SEQ])</f>
        <v>WACS020</v>
      </c>
      <c r="J25" s="172">
        <v>43617</v>
      </c>
      <c r="K25" s="172">
        <v>43634</v>
      </c>
      <c r="L25" s="172">
        <v>43640</v>
      </c>
      <c r="M25" s="172">
        <v>43643</v>
      </c>
      <c r="N25" s="173"/>
      <c r="O25" s="173"/>
      <c r="P25" s="173">
        <v>31250</v>
      </c>
      <c r="Q25" s="174"/>
      <c r="R25" s="174"/>
      <c r="S25" s="174"/>
      <c r="T25" s="174">
        <f>SUM(Table_Query_from_MS_Access_Database8[[#This Row],[HURF EX]:[STP OTHER]])</f>
        <v>31250</v>
      </c>
      <c r="U25" s="158">
        <f>U24-Table_Query_from_MS_Access_Database8[TOTAL OF AMOUNT]</f>
        <v>5000.0000000002037</v>
      </c>
    </row>
    <row r="26" spans="1:21" s="97" customFormat="1" ht="13.5" x14ac:dyDescent="0.25">
      <c r="A26" s="55"/>
      <c r="B26" s="55"/>
      <c r="C26" s="55"/>
      <c r="D26" s="55"/>
      <c r="E26" s="50"/>
      <c r="F26" s="50"/>
      <c r="G26" s="50"/>
      <c r="H26" s="50"/>
      <c r="I26" s="50"/>
      <c r="J26" s="50"/>
      <c r="K26" s="50"/>
      <c r="L26" s="50"/>
      <c r="M26" s="81" t="s">
        <v>75</v>
      </c>
      <c r="N26" s="107">
        <f>SUM(Table_Query_from_MS_Access_Database8[[#All],[HURF EX]])</f>
        <v>343124</v>
      </c>
      <c r="O26" s="107">
        <f>SUM(Table_Query_from_MS_Access_Database8[[#All],[HSIP]])</f>
        <v>-233298</v>
      </c>
      <c r="P26" s="107">
        <f>SUM(Table_Query_from_MS_Access_Database8[[#All],[SPR]])</f>
        <v>162500</v>
      </c>
      <c r="Q26" s="107">
        <f>SUM(Table_Query_from_MS_Access_Database8[[#All],[STP &lt;5]])</f>
        <v>-381250</v>
      </c>
      <c r="R26" s="107">
        <f>SUM(Table_Query_from_MS_Access_Database8[[#All],[STP 5-200]])</f>
        <v>1840239.97</v>
      </c>
      <c r="S26" s="107">
        <f>SUM(Table_Query_from_MS_Access_Database8[[#All],[STP OTHER]])</f>
        <v>47150</v>
      </c>
      <c r="T26" s="107">
        <f>SUM(N26:S26)</f>
        <v>1778465.97</v>
      </c>
      <c r="U26" s="104"/>
    </row>
    <row r="27" spans="1:21" s="97" customFormat="1" ht="27" x14ac:dyDescent="0.25">
      <c r="E27" s="50"/>
      <c r="F27" s="50"/>
      <c r="G27" s="50"/>
      <c r="H27" s="50"/>
      <c r="I27" s="50"/>
      <c r="J27" s="50"/>
      <c r="K27" s="50"/>
      <c r="L27" s="50"/>
      <c r="M27" s="81" t="s">
        <v>74</v>
      </c>
      <c r="N27" s="107">
        <f t="shared" ref="N27:T27" si="3">+N12-N26</f>
        <v>0</v>
      </c>
      <c r="O27" s="107">
        <f t="shared" si="3"/>
        <v>25303.649999999994</v>
      </c>
      <c r="P27" s="107">
        <f t="shared" si="3"/>
        <v>12500</v>
      </c>
      <c r="Q27" s="107">
        <f t="shared" si="3"/>
        <v>33721.349999999977</v>
      </c>
      <c r="R27" s="107">
        <f t="shared" si="3"/>
        <v>5000.0000000002328</v>
      </c>
      <c r="S27" s="107">
        <f t="shared" si="3"/>
        <v>0</v>
      </c>
      <c r="T27" s="107">
        <f t="shared" si="3"/>
        <v>76525.000000000233</v>
      </c>
      <c r="U27" s="104"/>
    </row>
    <row r="28" spans="1:21" s="97" customFormat="1" ht="15" x14ac:dyDescent="0.25">
      <c r="A28" s="57"/>
      <c r="B28" s="57"/>
      <c r="C28" s="57"/>
      <c r="D28" s="57"/>
      <c r="E28" s="51"/>
      <c r="F28" s="51"/>
      <c r="G28" s="51"/>
      <c r="H28" s="51"/>
      <c r="I28" s="51"/>
      <c r="J28" s="51"/>
      <c r="K28" s="51"/>
      <c r="L28" s="51"/>
      <c r="M28" s="57"/>
      <c r="N28" s="57"/>
      <c r="O28" s="57"/>
      <c r="P28" s="57"/>
      <c r="Q28" s="57"/>
      <c r="R28" s="57"/>
      <c r="S28" s="49"/>
      <c r="T28" s="55"/>
      <c r="U28" s="106"/>
    </row>
    <row r="29" spans="1:21" s="97" customFormat="1" ht="17.25" x14ac:dyDescent="0.3">
      <c r="A29" s="177" t="s">
        <v>35</v>
      </c>
      <c r="B29" s="177"/>
      <c r="C29" s="177"/>
      <c r="D29" s="177"/>
      <c r="E29" s="56"/>
      <c r="F29" s="56"/>
      <c r="G29" s="57"/>
      <c r="H29" s="57"/>
      <c r="I29" s="57"/>
      <c r="J29" s="59"/>
      <c r="K29" s="58"/>
      <c r="L29" s="58"/>
      <c r="M29" s="58"/>
      <c r="N29" s="58"/>
      <c r="O29" s="49"/>
      <c r="P29" s="49"/>
      <c r="Q29" s="51"/>
      <c r="R29" s="51"/>
      <c r="S29" s="49"/>
      <c r="T29" s="55"/>
      <c r="U29" s="106"/>
    </row>
    <row r="30" spans="1:21" s="55" customFormat="1" ht="40.5" x14ac:dyDescent="0.25">
      <c r="A30" s="82" t="s">
        <v>1</v>
      </c>
      <c r="B30" s="82" t="s">
        <v>0</v>
      </c>
      <c r="C30" s="82" t="s">
        <v>3</v>
      </c>
      <c r="D30" s="82" t="s">
        <v>83</v>
      </c>
      <c r="E30" s="82" t="s">
        <v>2</v>
      </c>
      <c r="F30" s="82" t="s">
        <v>45</v>
      </c>
      <c r="G30" s="82" t="s">
        <v>46</v>
      </c>
      <c r="H30" s="82" t="s">
        <v>47</v>
      </c>
      <c r="I30" s="82" t="s">
        <v>109</v>
      </c>
      <c r="J30" s="82" t="s">
        <v>48</v>
      </c>
      <c r="K30" s="82" t="s">
        <v>49</v>
      </c>
      <c r="L30" s="82" t="s">
        <v>50</v>
      </c>
      <c r="M30" s="82" t="s">
        <v>51</v>
      </c>
      <c r="N30" s="82" t="s">
        <v>205</v>
      </c>
      <c r="O30" s="82" t="s">
        <v>4</v>
      </c>
      <c r="P30" s="82" t="s">
        <v>5</v>
      </c>
      <c r="Q30" s="82" t="s">
        <v>106</v>
      </c>
      <c r="R30" s="82" t="s">
        <v>206</v>
      </c>
      <c r="S30" s="82" t="s">
        <v>52</v>
      </c>
      <c r="T30" s="82" t="s">
        <v>84</v>
      </c>
      <c r="U30" s="82" t="s">
        <v>53</v>
      </c>
    </row>
    <row r="31" spans="1:21" s="55" customFormat="1" ht="13.5" x14ac:dyDescent="0.25">
      <c r="A31" s="55" t="s">
        <v>226</v>
      </c>
      <c r="B31" s="55" t="s">
        <v>207</v>
      </c>
      <c r="C31" s="55" t="s">
        <v>251</v>
      </c>
      <c r="D31" s="55" t="s">
        <v>7</v>
      </c>
      <c r="E31" s="80" t="s">
        <v>222</v>
      </c>
      <c r="F31" s="130" t="s">
        <v>211</v>
      </c>
      <c r="G31" s="131" t="s">
        <v>212</v>
      </c>
      <c r="H31" s="131" t="s">
        <v>266</v>
      </c>
      <c r="I31" s="131" t="str">
        <f>CONCATENATE(Table_Query_from_MS_Access_Database_1[RTE],Table_Query_from_MS_Access_Database_1[SEC],Table_Query_from_MS_Access_Database_1[SEQ])</f>
        <v>094A477</v>
      </c>
      <c r="J31" s="127">
        <v>43661</v>
      </c>
      <c r="K31" s="127">
        <v>43679</v>
      </c>
      <c r="L31" s="127">
        <v>43679</v>
      </c>
      <c r="M31" s="128"/>
      <c r="N31" s="150"/>
      <c r="O31" s="154"/>
      <c r="P31" s="108"/>
      <c r="Q31" s="89"/>
      <c r="R31" s="89">
        <v>5000</v>
      </c>
      <c r="S31" s="89"/>
      <c r="T31" s="104">
        <f>SUM(Table_Query_from_MS_Access_Database_1[[#This Row],[HURF EX]:[STP OTHER]])</f>
        <v>5000</v>
      </c>
      <c r="U31" s="96">
        <f>U25-Table_Query_from_MS_Access_Database_1[TOTAL OF AMOUNT]</f>
        <v>2.0372681319713593E-10</v>
      </c>
    </row>
    <row r="32" spans="1:21" s="55" customFormat="1" ht="13.5" x14ac:dyDescent="0.25">
      <c r="J32" s="60"/>
      <c r="K32" s="60"/>
      <c r="L32" s="60"/>
      <c r="M32" s="83" t="s">
        <v>85</v>
      </c>
      <c r="N32" s="105">
        <f>SUM(Table_Query_from_MS_Access_Database_1[[#All],[HURF EX]])</f>
        <v>0</v>
      </c>
      <c r="O32" s="105">
        <f>SUM(Table_Query_from_MS_Access_Database_1[[#All],[HSIP]])</f>
        <v>0</v>
      </c>
      <c r="P32" s="105">
        <f>SUM(Table_Query_from_MS_Access_Database_1[[#All],[SPR]])</f>
        <v>0</v>
      </c>
      <c r="Q32" s="105">
        <f>SUM(Table_Query_from_MS_Access_Database_1[[#All],[STP &lt;5]])</f>
        <v>0</v>
      </c>
      <c r="R32" s="105">
        <f>SUM(Table_Query_from_MS_Access_Database_1[[#All],[STP 5-200]])</f>
        <v>5000</v>
      </c>
      <c r="S32" s="105">
        <f>SUM(Table_Query_from_MS_Access_Database_1[[#All],[STP OTHER]])</f>
        <v>0</v>
      </c>
      <c r="T32" s="105">
        <f>SUBTOTAL(109,Table_Query_from_MS_Access_Database_1[TOTAL OF AMOUNT])</f>
        <v>5000</v>
      </c>
      <c r="U32" s="155"/>
    </row>
    <row r="33" spans="1:21" s="55" customFormat="1" ht="27" x14ac:dyDescent="0.25">
      <c r="J33" s="60"/>
      <c r="K33" s="60"/>
      <c r="L33" s="60"/>
      <c r="M33" s="84" t="s">
        <v>74</v>
      </c>
      <c r="N33" s="107">
        <f t="shared" ref="N33:T33" si="4">+N27-N32</f>
        <v>0</v>
      </c>
      <c r="O33" s="107">
        <f t="shared" si="4"/>
        <v>25303.649999999994</v>
      </c>
      <c r="P33" s="107">
        <f t="shared" si="4"/>
        <v>12500</v>
      </c>
      <c r="Q33" s="107">
        <f t="shared" si="4"/>
        <v>33721.349999999977</v>
      </c>
      <c r="R33" s="107">
        <f t="shared" si="4"/>
        <v>2.3283064365386963E-10</v>
      </c>
      <c r="S33" s="107">
        <f t="shared" si="4"/>
        <v>0</v>
      </c>
      <c r="T33" s="107">
        <f t="shared" si="4"/>
        <v>71525.000000000233</v>
      </c>
      <c r="U33" s="155"/>
    </row>
    <row r="34" spans="1:21" s="52" customFormat="1" ht="15" customHeight="1" x14ac:dyDescent="0.25">
      <c r="J34" s="54"/>
      <c r="K34" s="54"/>
      <c r="L34" s="54"/>
      <c r="M34" s="54"/>
      <c r="N34" s="54">
        <f t="shared" ref="N34:T34" si="5">N26+N32</f>
        <v>343124</v>
      </c>
      <c r="O34" s="54">
        <f t="shared" si="5"/>
        <v>-233298</v>
      </c>
      <c r="P34" s="54">
        <f t="shared" si="5"/>
        <v>162500</v>
      </c>
      <c r="Q34" s="54">
        <f t="shared" si="5"/>
        <v>-381250</v>
      </c>
      <c r="R34" s="54">
        <f t="shared" si="5"/>
        <v>1845239.97</v>
      </c>
      <c r="S34" s="54">
        <f t="shared" si="5"/>
        <v>47150</v>
      </c>
      <c r="T34" s="54">
        <f t="shared" si="5"/>
        <v>1783465.97</v>
      </c>
      <c r="U34" s="55"/>
    </row>
    <row r="35" spans="1:21" s="52" customFormat="1" x14ac:dyDescent="0.25">
      <c r="J35" s="54"/>
      <c r="K35" s="54"/>
      <c r="L35" s="54"/>
      <c r="M35" s="54"/>
      <c r="N35" s="54"/>
      <c r="O35" s="54"/>
      <c r="P35" s="54"/>
      <c r="Q35" s="54"/>
      <c r="T35" s="60"/>
      <c r="U35" s="55"/>
    </row>
    <row r="36" spans="1:21" s="55" customFormat="1" ht="17.25" x14ac:dyDescent="0.25">
      <c r="A36" s="61" t="s">
        <v>76</v>
      </c>
      <c r="B36" s="52"/>
      <c r="C36" s="52"/>
      <c r="D36" s="52"/>
      <c r="E36" s="52"/>
      <c r="F36" s="52"/>
      <c r="G36" s="52"/>
      <c r="H36" s="52"/>
      <c r="I36" s="52"/>
      <c r="J36" s="54"/>
      <c r="K36" s="54"/>
      <c r="L36" s="54"/>
      <c r="M36" s="54"/>
      <c r="N36" s="175" t="s">
        <v>58</v>
      </c>
      <c r="O36" s="175"/>
      <c r="P36" s="175"/>
      <c r="Q36" s="175"/>
      <c r="R36" s="56"/>
      <c r="S36" s="52"/>
      <c r="T36" s="60"/>
    </row>
    <row r="37" spans="1:21" s="55" customFormat="1" ht="13.5" x14ac:dyDescent="0.25">
      <c r="J37" s="60"/>
      <c r="K37" s="60"/>
      <c r="L37" s="60"/>
      <c r="M37" s="109"/>
      <c r="N37" s="136" t="s">
        <v>205</v>
      </c>
      <c r="O37" s="136" t="s">
        <v>4</v>
      </c>
      <c r="P37" s="136" t="s">
        <v>5</v>
      </c>
      <c r="Q37" s="136" t="s">
        <v>106</v>
      </c>
      <c r="R37" s="136" t="s">
        <v>111</v>
      </c>
      <c r="S37" s="136" t="s">
        <v>52</v>
      </c>
      <c r="T37" s="136" t="s">
        <v>54</v>
      </c>
      <c r="U37" s="110" t="s">
        <v>59</v>
      </c>
    </row>
    <row r="38" spans="1:21" s="55" customFormat="1" ht="13.5" x14ac:dyDescent="0.25">
      <c r="J38" s="60"/>
      <c r="K38" s="60"/>
      <c r="L38" s="60"/>
      <c r="M38" s="100" t="s">
        <v>232</v>
      </c>
      <c r="N38" s="102">
        <f>+N33</f>
        <v>0</v>
      </c>
      <c r="O38" s="102">
        <f t="shared" ref="O38:R38" si="6">+O33</f>
        <v>25303.649999999994</v>
      </c>
      <c r="P38" s="102">
        <f t="shared" si="6"/>
        <v>12500</v>
      </c>
      <c r="Q38" s="102">
        <f t="shared" si="6"/>
        <v>33721.349999999977</v>
      </c>
      <c r="R38" s="102">
        <f t="shared" si="6"/>
        <v>2.3283064365386963E-10</v>
      </c>
      <c r="S38" s="102">
        <f t="shared" ref="S38" si="7">+S33</f>
        <v>0</v>
      </c>
      <c r="T38" s="102">
        <f>SUM(N38:S38)</f>
        <v>71525.000000000204</v>
      </c>
      <c r="U38" s="102">
        <f>U31</f>
        <v>2.0372681319713593E-10</v>
      </c>
    </row>
    <row r="39" spans="1:21" s="55" customFormat="1" ht="13.5" x14ac:dyDescent="0.25">
      <c r="J39" s="60"/>
      <c r="K39" s="60"/>
      <c r="L39" s="60"/>
      <c r="M39" s="100" t="s">
        <v>233</v>
      </c>
      <c r="N39" s="135">
        <f>SUMIFS(Table_Query_from_MS_Access_Database[[#All],[Notes]],Table_Query_from_MS_Access_Database[[#All],[Transaction Year]],"2019",Table_Query_from_MS_Access_Database[[#All],[Transaction Type]],"Lapsing")</f>
        <v>0</v>
      </c>
      <c r="O39" s="135">
        <f>SUMIFS(Table_Query_from_MS_Access_Database[[#All],[Notes]],Table_Query_from_MS_Access_Database[[#All],[Transaction Year]],"2019",Table_Query_from_MS_Access_Database[[#All],[Transaction Type]],"Lapsing")</f>
        <v>0</v>
      </c>
      <c r="P39" s="135">
        <f>SUMIFS(Table_Query_from_MS_Access_Database[[#All],[Notes]],Table_Query_from_MS_Access_Database[[#All],[Transaction Year]],"2019",Table_Query_from_MS_Access_Database[[#All],[Transaction Type]],"Lapsing")</f>
        <v>0</v>
      </c>
      <c r="Q39" s="135">
        <f>SUMIFS(Table_Query_from_MS_Access_Database[[#All],[Notes]],Table_Query_from_MS_Access_Database[[#All],[Transaction Year]],"2019",Table_Query_from_MS_Access_Database[[#All],[Transaction Type]],"Lapsing")</f>
        <v>0</v>
      </c>
      <c r="R39" s="135">
        <f>SUMIFS(Table_Query_from_MS_Access_Database[[#All],[Notes]],Table_Query_from_MS_Access_Database[[#All],[Transaction Year]],"2019",Table_Query_from_MS_Access_Database[[#All],[Transaction Type]],"Lapsing")</f>
        <v>0</v>
      </c>
      <c r="S39" s="135">
        <f>SUMIFS(Table_Query_from_MS_Access_Database[[#All],[Notes]],Table_Query_from_MS_Access_Database[[#All],[Transaction Year]],"2019",Table_Query_from_MS_Access_Database[[#All],[Transaction Type]],"Lapsing")</f>
        <v>0</v>
      </c>
      <c r="T39" s="135">
        <f>SUM(N39:S39)</f>
        <v>0</v>
      </c>
      <c r="U39" s="135">
        <f>SUMIFS(Table_Query_from_MS_Access_Database_16[[#All],[To]],Table_Query_from_MS_Access_Database_16[[#All],[Transaction Year]],"2019",Table_Query_from_MS_Access_Database_16[[#All],[Transaction Type]],"Lapsing")</f>
        <v>0</v>
      </c>
    </row>
    <row r="40" spans="1:21" s="52" customFormat="1" x14ac:dyDescent="0.25">
      <c r="A40" s="55"/>
      <c r="B40" s="55"/>
      <c r="C40" s="55"/>
      <c r="D40" s="55"/>
      <c r="E40" s="55"/>
      <c r="F40" s="55"/>
      <c r="G40" s="55"/>
      <c r="H40" s="55"/>
      <c r="I40" s="55"/>
      <c r="J40" s="60"/>
      <c r="K40" s="60"/>
      <c r="L40" s="60"/>
      <c r="M40" s="100" t="s">
        <v>234</v>
      </c>
      <c r="N40" s="103">
        <f t="shared" ref="N40" si="8">SUM(N38:N39)</f>
        <v>0</v>
      </c>
      <c r="O40" s="103">
        <f t="shared" ref="O40:R40" si="9">SUM(O38:O39)</f>
        <v>25303.649999999994</v>
      </c>
      <c r="P40" s="103">
        <f t="shared" si="9"/>
        <v>12500</v>
      </c>
      <c r="Q40" s="103">
        <f t="shared" si="9"/>
        <v>33721.349999999977</v>
      </c>
      <c r="R40" s="103">
        <f t="shared" si="9"/>
        <v>2.3283064365386963E-10</v>
      </c>
      <c r="S40" s="103">
        <f t="shared" ref="S40" si="10">SUM(S38:S39)</f>
        <v>0</v>
      </c>
      <c r="T40" s="103">
        <f>SUM(N40:S40)</f>
        <v>71525.000000000204</v>
      </c>
      <c r="U40" s="103">
        <f>SUM(U38:U39)</f>
        <v>2.0372681319713593E-10</v>
      </c>
    </row>
    <row r="41" spans="1:21" s="52" customFormat="1" x14ac:dyDescent="0.25">
      <c r="A41" s="55"/>
      <c r="B41" s="55"/>
      <c r="C41" s="55"/>
      <c r="D41" s="55"/>
      <c r="E41" s="55"/>
      <c r="F41" s="55"/>
      <c r="G41" s="55"/>
      <c r="H41" s="55"/>
      <c r="I41" s="55"/>
      <c r="J41" s="60"/>
      <c r="K41" s="60"/>
      <c r="L41" s="60"/>
      <c r="M41" s="101" t="s">
        <v>231</v>
      </c>
      <c r="N41" s="135">
        <f>+N38-N33</f>
        <v>0</v>
      </c>
      <c r="O41" s="135">
        <f t="shared" ref="O41:R41" si="11">+O38-O33</f>
        <v>0</v>
      </c>
      <c r="P41" s="135">
        <f t="shared" si="11"/>
        <v>0</v>
      </c>
      <c r="Q41" s="135">
        <f t="shared" si="11"/>
        <v>0</v>
      </c>
      <c r="R41" s="135">
        <f t="shared" si="11"/>
        <v>0</v>
      </c>
      <c r="S41" s="135">
        <f t="shared" ref="S41" si="12">+S38-S33</f>
        <v>0</v>
      </c>
      <c r="T41" s="135">
        <v>0</v>
      </c>
      <c r="U41" s="135">
        <v>0</v>
      </c>
    </row>
  </sheetData>
  <sheetProtection autoFilter="0"/>
  <mergeCells count="10">
    <mergeCell ref="N36:Q36"/>
    <mergeCell ref="A1:F1"/>
    <mergeCell ref="A14:D14"/>
    <mergeCell ref="A9:L9"/>
    <mergeCell ref="A3:D3"/>
    <mergeCell ref="A4:D4"/>
    <mergeCell ref="J14:M14"/>
    <mergeCell ref="A29:D29"/>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33"/>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0.42578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4" width="12.4257812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87" t="str">
        <f>+'Federal Funds Transactions'!A1:F1</f>
        <v>Western Arizona Council of Governments</v>
      </c>
      <c r="B1" s="187"/>
      <c r="C1" s="187"/>
      <c r="D1" s="187"/>
      <c r="E1" s="187"/>
      <c r="F1" s="187"/>
    </row>
    <row r="2" spans="1:40" ht="14.45" x14ac:dyDescent="0.3">
      <c r="A2" s="27"/>
      <c r="B2" s="27"/>
      <c r="C2" s="27"/>
      <c r="D2" s="27"/>
      <c r="E2" s="27"/>
      <c r="F2" s="27"/>
    </row>
    <row r="3" spans="1:40" ht="14.45" x14ac:dyDescent="0.3">
      <c r="A3" s="188" t="s">
        <v>82</v>
      </c>
      <c r="B3" s="188"/>
      <c r="C3" s="188"/>
      <c r="D3" s="188"/>
      <c r="E3" s="188"/>
      <c r="F3" s="188"/>
    </row>
    <row r="4" spans="1:40" ht="14.45" x14ac:dyDescent="0.3">
      <c r="A4" s="28"/>
      <c r="B4" s="28"/>
      <c r="C4" s="28"/>
      <c r="D4" s="28"/>
      <c r="E4" s="28"/>
      <c r="F4" s="28"/>
    </row>
    <row r="5" spans="1:40" ht="14.45" x14ac:dyDescent="0.3">
      <c r="A5" s="25" t="s">
        <v>81</v>
      </c>
      <c r="B5" s="68">
        <f>+'Federal Funds Transactions'!C5</f>
        <v>43677</v>
      </c>
      <c r="C5" s="27"/>
      <c r="D5" s="27"/>
      <c r="E5" s="27"/>
      <c r="F5" s="27"/>
    </row>
    <row r="6" spans="1:40" ht="14.45" x14ac:dyDescent="0.3">
      <c r="A6" s="27"/>
      <c r="B6" s="27"/>
      <c r="C6" s="27"/>
      <c r="D6" s="27"/>
      <c r="E6" s="27"/>
      <c r="F6" s="27"/>
    </row>
    <row r="7" spans="1:40" ht="15" customHeight="1" x14ac:dyDescent="0.3">
      <c r="A7" s="191" t="str">
        <f>+'Federal Funds Transactions'!A9:L9</f>
        <v>IMPORTANT! Please review the information in the Notes tab for further explanation of the data in this document.</v>
      </c>
      <c r="B7" s="191"/>
      <c r="C7" s="191"/>
      <c r="D7" s="191"/>
      <c r="E7" s="191"/>
      <c r="F7" s="191"/>
      <c r="G7" s="191"/>
      <c r="H7" s="191"/>
    </row>
    <row r="9" spans="1:40" ht="15.75" customHeight="1" x14ac:dyDescent="0.3">
      <c r="A9" s="189" t="s">
        <v>78</v>
      </c>
      <c r="B9" s="189"/>
      <c r="C9" s="189"/>
      <c r="D9" s="189"/>
      <c r="E9" s="189"/>
      <c r="F9" s="189"/>
      <c r="G9" s="18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93</v>
      </c>
      <c r="C60" s="25" t="s">
        <v>260</v>
      </c>
      <c r="D60" s="25" t="s">
        <v>118</v>
      </c>
      <c r="E60" s="25" t="s">
        <v>98</v>
      </c>
      <c r="F60" s="25" t="s">
        <v>188</v>
      </c>
      <c r="G60" s="25" t="s">
        <v>261</v>
      </c>
      <c r="H60" s="25" t="s">
        <v>262</v>
      </c>
      <c r="I60" s="25">
        <v>-118377</v>
      </c>
      <c r="N60" s="141">
        <v>-118377</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93</v>
      </c>
      <c r="C61" s="25" t="s">
        <v>263</v>
      </c>
      <c r="D61" s="25" t="s">
        <v>118</v>
      </c>
      <c r="E61" s="25" t="s">
        <v>95</v>
      </c>
      <c r="F61" s="25" t="s">
        <v>188</v>
      </c>
      <c r="G61" s="25" t="s">
        <v>264</v>
      </c>
      <c r="H61" s="25" t="s">
        <v>265</v>
      </c>
      <c r="I61" s="25">
        <v>-207994.35</v>
      </c>
      <c r="K61" s="25">
        <v>-207994.35</v>
      </c>
      <c r="N61" s="141"/>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176</v>
      </c>
      <c r="D62" s="25" t="s">
        <v>95</v>
      </c>
      <c r="E62" s="25" t="s">
        <v>118</v>
      </c>
      <c r="F62" s="25" t="s">
        <v>97</v>
      </c>
      <c r="H62" s="25" t="s">
        <v>177</v>
      </c>
      <c r="I62" s="25">
        <v>344098.48</v>
      </c>
      <c r="N62" s="141">
        <v>344098.48</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94</v>
      </c>
      <c r="C63" s="153" t="s">
        <v>182</v>
      </c>
      <c r="D63" s="153" t="s">
        <v>95</v>
      </c>
      <c r="E63" s="153" t="s">
        <v>118</v>
      </c>
      <c r="F63" s="153" t="s">
        <v>97</v>
      </c>
      <c r="G63" s="153" t="s">
        <v>183</v>
      </c>
      <c r="H63" s="153" t="s">
        <v>184</v>
      </c>
      <c r="I63" s="153">
        <v>295160</v>
      </c>
      <c r="J63" s="153"/>
      <c r="K63" s="153"/>
      <c r="L63" s="153"/>
      <c r="M63" s="153"/>
      <c r="N63" s="153">
        <v>295160</v>
      </c>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94</v>
      </c>
      <c r="C64" s="153" t="s">
        <v>208</v>
      </c>
      <c r="D64" s="153" t="s">
        <v>95</v>
      </c>
      <c r="E64" s="153" t="s">
        <v>118</v>
      </c>
      <c r="F64" s="153" t="s">
        <v>97</v>
      </c>
      <c r="G64" s="153" t="s">
        <v>209</v>
      </c>
      <c r="H64" s="153" t="s">
        <v>210</v>
      </c>
      <c r="I64" s="153">
        <v>126293.53</v>
      </c>
      <c r="J64" s="153"/>
      <c r="K64" s="153"/>
      <c r="L64" s="153"/>
      <c r="M64" s="153"/>
      <c r="N64" s="153">
        <v>126293.53</v>
      </c>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3" t="s">
        <v>97</v>
      </c>
      <c r="B65" s="163" t="s">
        <v>114</v>
      </c>
      <c r="C65" s="163" t="s">
        <v>242</v>
      </c>
      <c r="D65" s="163" t="s">
        <v>95</v>
      </c>
      <c r="E65" s="163" t="s">
        <v>118</v>
      </c>
      <c r="F65" s="163" t="s">
        <v>97</v>
      </c>
      <c r="G65" s="163" t="s">
        <v>235</v>
      </c>
      <c r="H65" s="163" t="s">
        <v>243</v>
      </c>
      <c r="I65" s="163">
        <v>343124</v>
      </c>
      <c r="J65" s="163">
        <v>343124</v>
      </c>
      <c r="K65" s="163"/>
      <c r="L65" s="163"/>
      <c r="M65" s="163"/>
      <c r="N65" s="163"/>
      <c r="O65" s="163"/>
      <c r="P65" s="163"/>
      <c r="Q65" s="163"/>
      <c r="R65" s="163"/>
      <c r="S65" s="163"/>
      <c r="T65" s="141"/>
      <c r="U65" s="141"/>
      <c r="V65" s="141"/>
      <c r="W65" s="141"/>
      <c r="X65" s="73"/>
      <c r="Y65" s="73"/>
      <c r="Z65" s="73"/>
      <c r="AA65" s="73"/>
      <c r="AF65" s="9"/>
      <c r="AG65" s="9"/>
      <c r="AH65" s="9"/>
      <c r="AI65" s="9"/>
      <c r="AJ65" s="9"/>
      <c r="AK65" s="9"/>
      <c r="AL65" s="9"/>
      <c r="AM65" s="9"/>
      <c r="AN65" s="9"/>
    </row>
    <row r="66" spans="1:40" x14ac:dyDescent="0.25">
      <c r="A66" s="163" t="s">
        <v>97</v>
      </c>
      <c r="B66" s="163" t="s">
        <v>114</v>
      </c>
      <c r="C66" s="163" t="s">
        <v>153</v>
      </c>
      <c r="D66" s="163" t="s">
        <v>151</v>
      </c>
      <c r="E66" s="163" t="s">
        <v>118</v>
      </c>
      <c r="F66" s="163" t="s">
        <v>188</v>
      </c>
      <c r="G66" s="163"/>
      <c r="H66" s="163" t="s">
        <v>190</v>
      </c>
      <c r="I66" s="163">
        <v>302770</v>
      </c>
      <c r="J66" s="163"/>
      <c r="K66" s="163"/>
      <c r="L66" s="163"/>
      <c r="M66" s="163"/>
      <c r="N66" s="163">
        <v>302770</v>
      </c>
      <c r="O66" s="163"/>
      <c r="P66" s="163"/>
      <c r="Q66" s="163"/>
      <c r="R66" s="163"/>
      <c r="S66" s="163"/>
      <c r="T66" s="141"/>
      <c r="U66" s="141"/>
      <c r="V66" s="141"/>
      <c r="W66" s="141"/>
      <c r="X66" s="73"/>
      <c r="Y66" s="73"/>
      <c r="Z66" s="73"/>
      <c r="AA66" s="73"/>
      <c r="AF66" s="9"/>
      <c r="AG66" s="9"/>
      <c r="AH66" s="9"/>
      <c r="AI66" s="9"/>
      <c r="AJ66" s="9"/>
      <c r="AK66" s="9"/>
      <c r="AL66" s="9"/>
      <c r="AM66" s="9"/>
      <c r="AN66" s="9"/>
    </row>
    <row r="67" spans="1:40" x14ac:dyDescent="0.25">
      <c r="A67" s="25" t="s">
        <v>97</v>
      </c>
      <c r="B67" s="25" t="s">
        <v>110</v>
      </c>
      <c r="C67" s="25" t="s">
        <v>242</v>
      </c>
      <c r="D67" s="25" t="s">
        <v>118</v>
      </c>
      <c r="E67" s="25" t="s">
        <v>95</v>
      </c>
      <c r="F67" s="25" t="s">
        <v>97</v>
      </c>
      <c r="G67" s="25" t="s">
        <v>235</v>
      </c>
      <c r="H67" s="25" t="s">
        <v>244</v>
      </c>
      <c r="I67" s="25">
        <v>-381249</v>
      </c>
      <c r="M67" s="25">
        <v>-381249</v>
      </c>
      <c r="T67" s="141"/>
      <c r="U67" s="141"/>
      <c r="V67" s="141"/>
      <c r="W67" s="141"/>
      <c r="X67" s="73"/>
      <c r="Y67" s="73"/>
      <c r="Z67" s="73"/>
      <c r="AA67" s="73"/>
      <c r="AF67" s="9"/>
      <c r="AG67" s="9"/>
      <c r="AH67" s="9"/>
      <c r="AI67" s="9"/>
      <c r="AJ67" s="9"/>
      <c r="AK67" s="9"/>
      <c r="AL67" s="9"/>
      <c r="AM67" s="9"/>
      <c r="AN67" s="9"/>
    </row>
    <row r="68" spans="1:40" x14ac:dyDescent="0.25">
      <c r="A68" s="25" t="s">
        <v>188</v>
      </c>
      <c r="B68" s="25" t="s">
        <v>94</v>
      </c>
      <c r="C68" s="25" t="s">
        <v>260</v>
      </c>
      <c r="D68" s="25" t="s">
        <v>98</v>
      </c>
      <c r="E68" s="25" t="s">
        <v>118</v>
      </c>
      <c r="F68" s="25" t="s">
        <v>188</v>
      </c>
      <c r="G68" s="25" t="s">
        <v>261</v>
      </c>
      <c r="H68" s="25" t="s">
        <v>262</v>
      </c>
      <c r="I68" s="25">
        <v>118377</v>
      </c>
      <c r="N68" s="25">
        <v>118377</v>
      </c>
      <c r="T68" s="141"/>
      <c r="U68" s="141"/>
      <c r="V68" s="141"/>
      <c r="W68" s="141"/>
      <c r="X68" s="73"/>
      <c r="Y68" s="73"/>
      <c r="Z68" s="73"/>
      <c r="AA68" s="73"/>
      <c r="AF68" s="9"/>
      <c r="AG68" s="9"/>
      <c r="AH68" s="9"/>
      <c r="AI68" s="9"/>
      <c r="AJ68" s="9"/>
      <c r="AK68" s="9"/>
      <c r="AL68" s="9"/>
      <c r="AM68" s="9"/>
      <c r="AN68" s="9"/>
    </row>
    <row r="69" spans="1:40" x14ac:dyDescent="0.25">
      <c r="A69" s="167" t="s">
        <v>188</v>
      </c>
      <c r="B69" s="167" t="s">
        <v>94</v>
      </c>
      <c r="C69" s="167" t="s">
        <v>263</v>
      </c>
      <c r="D69" s="167" t="s">
        <v>95</v>
      </c>
      <c r="E69" s="167" t="s">
        <v>118</v>
      </c>
      <c r="F69" s="167" t="s">
        <v>188</v>
      </c>
      <c r="G69" s="167" t="s">
        <v>264</v>
      </c>
      <c r="H69" s="167" t="s">
        <v>265</v>
      </c>
      <c r="I69" s="167">
        <v>207994.35</v>
      </c>
      <c r="J69" s="167"/>
      <c r="K69" s="167"/>
      <c r="L69" s="167"/>
      <c r="M69" s="167"/>
      <c r="N69" s="167">
        <v>207994.35</v>
      </c>
      <c r="O69" s="167"/>
      <c r="P69" s="167"/>
      <c r="Q69" s="167"/>
      <c r="R69" s="167"/>
      <c r="S69" s="167"/>
      <c r="T69" s="141"/>
      <c r="U69" s="141"/>
      <c r="V69" s="141"/>
      <c r="W69" s="141"/>
      <c r="X69" s="73"/>
      <c r="Y69" s="73"/>
      <c r="Z69" s="73"/>
      <c r="AA69" s="73"/>
      <c r="AF69" s="9"/>
      <c r="AG69" s="9"/>
      <c r="AH69" s="9"/>
      <c r="AI69" s="9"/>
      <c r="AJ69" s="9"/>
      <c r="AK69" s="9"/>
      <c r="AL69" s="9"/>
      <c r="AM69" s="9"/>
      <c r="AN69" s="9"/>
    </row>
    <row r="70" spans="1:40" x14ac:dyDescent="0.25">
      <c r="A70" s="167" t="s">
        <v>188</v>
      </c>
      <c r="B70" s="167" t="s">
        <v>114</v>
      </c>
      <c r="C70" s="167" t="s">
        <v>153</v>
      </c>
      <c r="D70" s="167" t="s">
        <v>151</v>
      </c>
      <c r="E70" s="167" t="s">
        <v>118</v>
      </c>
      <c r="F70" s="167" t="s">
        <v>188</v>
      </c>
      <c r="G70" s="167"/>
      <c r="H70" s="167" t="s">
        <v>191</v>
      </c>
      <c r="I70" s="167">
        <v>302770</v>
      </c>
      <c r="J70" s="167"/>
      <c r="K70" s="167"/>
      <c r="L70" s="167"/>
      <c r="M70" s="167"/>
      <c r="N70" s="167">
        <v>302770</v>
      </c>
      <c r="O70" s="167"/>
      <c r="P70" s="167"/>
      <c r="Q70" s="167"/>
      <c r="R70" s="167"/>
      <c r="S70" s="167"/>
      <c r="T70" s="141"/>
      <c r="U70" s="141"/>
      <c r="V70" s="141"/>
      <c r="W70" s="141"/>
      <c r="X70" s="73"/>
      <c r="Y70" s="73"/>
      <c r="Z70" s="73"/>
      <c r="AA70" s="73"/>
      <c r="AF70" s="9"/>
      <c r="AG70" s="9"/>
      <c r="AH70" s="9"/>
      <c r="AI70" s="9"/>
      <c r="AJ70" s="9"/>
      <c r="AK70" s="9"/>
      <c r="AL70" s="9"/>
      <c r="AM70" s="9"/>
      <c r="AN70" s="9"/>
    </row>
    <row r="71" spans="1:40" ht="15.75" x14ac:dyDescent="0.25">
      <c r="A71" s="190" t="s">
        <v>79</v>
      </c>
      <c r="B71" s="190"/>
      <c r="C71" s="190"/>
      <c r="D71" s="190"/>
      <c r="E71" s="190"/>
      <c r="F71" s="190"/>
      <c r="G71" s="190"/>
      <c r="AG71" s="73"/>
      <c r="AH71" s="73"/>
      <c r="AI71" s="73"/>
      <c r="AJ71" s="73"/>
    </row>
    <row r="73" spans="1:40" x14ac:dyDescent="0.25">
      <c r="A73" s="73" t="s">
        <v>42</v>
      </c>
      <c r="B73" s="73" t="s">
        <v>43</v>
      </c>
      <c r="C73" s="73" t="s">
        <v>13</v>
      </c>
      <c r="D73" s="73" t="s">
        <v>87</v>
      </c>
      <c r="E73" s="73" t="s">
        <v>88</v>
      </c>
      <c r="F73" s="73" t="s">
        <v>44</v>
      </c>
      <c r="G73" s="73" t="s">
        <v>89</v>
      </c>
      <c r="H73" s="73" t="s">
        <v>90</v>
      </c>
      <c r="I73" s="73" t="s">
        <v>10</v>
      </c>
      <c r="J73" s="73" t="s">
        <v>203</v>
      </c>
      <c r="K73" s="73" t="s">
        <v>4</v>
      </c>
      <c r="L73" s="73" t="s">
        <v>5</v>
      </c>
      <c r="M73" s="73" t="s">
        <v>106</v>
      </c>
      <c r="N73" s="73" t="s">
        <v>111</v>
      </c>
      <c r="O73" s="73" t="s">
        <v>199</v>
      </c>
      <c r="P73" s="73" t="s">
        <v>200</v>
      </c>
      <c r="Q73" s="73" t="s">
        <v>201</v>
      </c>
      <c r="R73" s="31" t="s">
        <v>202</v>
      </c>
      <c r="S73" s="73"/>
      <c r="T73" s="73"/>
      <c r="U73" s="73"/>
      <c r="AD73" s="9"/>
      <c r="AE73" s="9"/>
      <c r="AF73" s="9"/>
      <c r="AG73" s="9"/>
      <c r="AH73" s="9"/>
      <c r="AI73" s="9"/>
      <c r="AJ73" s="9"/>
      <c r="AK73" s="9"/>
      <c r="AL73" s="9"/>
      <c r="AM73" s="9"/>
      <c r="AN73" s="9"/>
    </row>
    <row r="74" spans="1:40" x14ac:dyDescent="0.25">
      <c r="A74" s="31" t="s">
        <v>121</v>
      </c>
      <c r="B74" s="31" t="s">
        <v>124</v>
      </c>
      <c r="C74" s="31" t="s">
        <v>122</v>
      </c>
      <c r="D74" s="31" t="s">
        <v>119</v>
      </c>
      <c r="E74" s="31" t="s">
        <v>118</v>
      </c>
      <c r="F74" s="31" t="s">
        <v>100</v>
      </c>
      <c r="G74" s="31"/>
      <c r="H74" s="31" t="s">
        <v>125</v>
      </c>
      <c r="I74" s="31">
        <v>1515000</v>
      </c>
      <c r="J74" s="31"/>
      <c r="K74" s="31"/>
      <c r="L74" s="73"/>
      <c r="M74" s="73"/>
      <c r="N74" s="140"/>
      <c r="O74" s="140">
        <v>1515000</v>
      </c>
      <c r="P74" s="140"/>
      <c r="Q74" s="140"/>
      <c r="R74" s="31"/>
      <c r="S74" s="140"/>
      <c r="T74" s="125"/>
      <c r="U74" s="73"/>
      <c r="AD74" s="9"/>
      <c r="AE74" s="9"/>
      <c r="AF74" s="9"/>
      <c r="AG74" s="9"/>
      <c r="AH74" s="9"/>
      <c r="AI74" s="9"/>
      <c r="AJ74" s="9"/>
      <c r="AK74" s="9"/>
      <c r="AL74" s="9"/>
      <c r="AM74" s="9"/>
      <c r="AN74" s="9"/>
    </row>
    <row r="75" spans="1:40" x14ac:dyDescent="0.25">
      <c r="A75" s="73" t="s">
        <v>121</v>
      </c>
      <c r="B75" s="73" t="s">
        <v>93</v>
      </c>
      <c r="C75" s="73" t="s">
        <v>126</v>
      </c>
      <c r="D75" s="73" t="s">
        <v>118</v>
      </c>
      <c r="E75" s="73" t="s">
        <v>95</v>
      </c>
      <c r="F75" s="73" t="s">
        <v>96</v>
      </c>
      <c r="G75" s="73" t="s">
        <v>127</v>
      </c>
      <c r="H75" s="73" t="s">
        <v>128</v>
      </c>
      <c r="I75" s="73">
        <v>-220000</v>
      </c>
      <c r="J75" s="73"/>
      <c r="K75" s="73">
        <v>-220000</v>
      </c>
      <c r="L75" s="73"/>
      <c r="M75" s="73"/>
      <c r="N75" s="140"/>
      <c r="O75" s="140"/>
      <c r="P75" s="140"/>
      <c r="Q75" s="140"/>
      <c r="R75" s="31"/>
      <c r="S75" s="140"/>
      <c r="T75" s="125"/>
      <c r="U75" s="73"/>
      <c r="AD75" s="9"/>
      <c r="AE75" s="9"/>
      <c r="AF75" s="9"/>
      <c r="AG75" s="9"/>
      <c r="AH75" s="9"/>
      <c r="AI75" s="9"/>
      <c r="AJ75" s="9"/>
      <c r="AK75" s="9"/>
      <c r="AL75" s="9"/>
      <c r="AM75" s="9"/>
      <c r="AN75" s="9"/>
    </row>
    <row r="76" spans="1:40" x14ac:dyDescent="0.25">
      <c r="A76" s="73" t="s">
        <v>121</v>
      </c>
      <c r="B76" s="73" t="s">
        <v>110</v>
      </c>
      <c r="C76" s="73" t="s">
        <v>129</v>
      </c>
      <c r="D76" s="73" t="s">
        <v>118</v>
      </c>
      <c r="E76" s="73" t="s">
        <v>95</v>
      </c>
      <c r="F76" s="73"/>
      <c r="G76" s="73"/>
      <c r="H76" s="73" t="s">
        <v>130</v>
      </c>
      <c r="I76" s="73">
        <v>-380000</v>
      </c>
      <c r="J76" s="73"/>
      <c r="K76" s="73">
        <v>-380000</v>
      </c>
      <c r="L76" s="73"/>
      <c r="M76" s="73"/>
      <c r="N76" s="140"/>
      <c r="O76" s="140"/>
      <c r="P76" s="140"/>
      <c r="Q76" s="140"/>
      <c r="R76" s="31"/>
      <c r="S76" s="140"/>
      <c r="T76" s="125"/>
      <c r="U76" s="73"/>
      <c r="AD76" s="9"/>
      <c r="AE76" s="9"/>
      <c r="AF76" s="9"/>
      <c r="AG76" s="9"/>
      <c r="AH76" s="9"/>
      <c r="AI76" s="9"/>
      <c r="AJ76" s="9"/>
      <c r="AK76" s="9"/>
      <c r="AL76" s="9"/>
      <c r="AM76" s="9"/>
      <c r="AN76" s="9"/>
    </row>
    <row r="77" spans="1:40" x14ac:dyDescent="0.25">
      <c r="A77" s="73" t="s">
        <v>115</v>
      </c>
      <c r="B77" s="73" t="s">
        <v>93</v>
      </c>
      <c r="C77" s="73" t="s">
        <v>131</v>
      </c>
      <c r="D77" s="73" t="s">
        <v>118</v>
      </c>
      <c r="E77" s="73" t="s">
        <v>95</v>
      </c>
      <c r="F77" s="73" t="s">
        <v>96</v>
      </c>
      <c r="G77" s="73" t="s">
        <v>127</v>
      </c>
      <c r="H77" s="73" t="s">
        <v>132</v>
      </c>
      <c r="I77" s="73">
        <v>-559770</v>
      </c>
      <c r="J77" s="73"/>
      <c r="K77" s="73">
        <v>-559770</v>
      </c>
      <c r="L77" s="73"/>
      <c r="M77" s="73"/>
      <c r="N77" s="140"/>
      <c r="O77" s="140"/>
      <c r="P77" s="140"/>
      <c r="Q77" s="140"/>
      <c r="R77" s="31"/>
      <c r="S77" s="140"/>
      <c r="T77" s="125"/>
      <c r="U77" s="73"/>
      <c r="V77" s="9"/>
      <c r="W77" s="9"/>
      <c r="X77" s="9"/>
      <c r="Y77" s="9"/>
      <c r="Z77" s="9"/>
      <c r="AA77" s="9"/>
      <c r="AB77" s="9"/>
      <c r="AC77" s="9"/>
      <c r="AD77" s="9"/>
      <c r="AE77" s="9"/>
      <c r="AF77" s="9"/>
      <c r="AG77" s="9"/>
      <c r="AH77" s="9"/>
      <c r="AI77" s="9"/>
      <c r="AJ77" s="9"/>
      <c r="AK77" s="9"/>
      <c r="AL77" s="9"/>
      <c r="AM77" s="9"/>
      <c r="AN77" s="9"/>
    </row>
    <row r="78" spans="1:40" x14ac:dyDescent="0.25">
      <c r="A78" s="73" t="s">
        <v>96</v>
      </c>
      <c r="B78" s="73" t="s">
        <v>102</v>
      </c>
      <c r="C78" s="73" t="s">
        <v>133</v>
      </c>
      <c r="D78" s="73" t="s">
        <v>118</v>
      </c>
      <c r="E78" s="73" t="s">
        <v>95</v>
      </c>
      <c r="F78" s="73" t="s">
        <v>103</v>
      </c>
      <c r="G78" s="73"/>
      <c r="H78" s="73" t="s">
        <v>134</v>
      </c>
      <c r="I78" s="73">
        <v>-10083.379999999999</v>
      </c>
      <c r="J78" s="73"/>
      <c r="K78" s="73">
        <v>0</v>
      </c>
      <c r="L78" s="73"/>
      <c r="M78" s="73"/>
      <c r="N78" s="140"/>
      <c r="O78" s="140"/>
      <c r="P78" s="140"/>
      <c r="Q78" s="140"/>
      <c r="R78" s="31"/>
      <c r="S78" s="140"/>
      <c r="T78" s="125"/>
      <c r="U78" s="73"/>
      <c r="V78" s="9"/>
      <c r="W78" s="9"/>
      <c r="X78" s="9"/>
      <c r="Y78" s="9"/>
      <c r="Z78" s="9"/>
      <c r="AA78" s="9"/>
      <c r="AB78" s="9"/>
      <c r="AC78" s="9"/>
      <c r="AD78" s="9"/>
      <c r="AE78" s="9"/>
      <c r="AF78" s="9"/>
      <c r="AG78" s="9"/>
      <c r="AH78" s="9"/>
      <c r="AI78" s="9"/>
      <c r="AJ78" s="9"/>
      <c r="AK78" s="9"/>
      <c r="AL78" s="9"/>
      <c r="AM78" s="9"/>
      <c r="AN78" s="9"/>
    </row>
    <row r="79" spans="1:40" x14ac:dyDescent="0.25">
      <c r="A79" s="73" t="s">
        <v>96</v>
      </c>
      <c r="B79" s="73" t="s">
        <v>124</v>
      </c>
      <c r="C79" s="73" t="s">
        <v>135</v>
      </c>
      <c r="D79" s="73" t="s">
        <v>98</v>
      </c>
      <c r="E79" s="73" t="s">
        <v>118</v>
      </c>
      <c r="F79" s="73" t="s">
        <v>100</v>
      </c>
      <c r="G79" s="73"/>
      <c r="H79" s="73" t="s">
        <v>136</v>
      </c>
      <c r="I79" s="73">
        <v>200000</v>
      </c>
      <c r="J79" s="73"/>
      <c r="K79" s="73"/>
      <c r="L79" s="73"/>
      <c r="M79" s="73"/>
      <c r="N79" s="140"/>
      <c r="O79" s="140">
        <v>200000</v>
      </c>
      <c r="P79" s="140"/>
      <c r="Q79" s="140"/>
      <c r="R79" s="31"/>
      <c r="S79" s="140"/>
      <c r="T79" s="125"/>
      <c r="U79" s="73"/>
      <c r="V79" s="9"/>
      <c r="W79" s="9"/>
      <c r="X79" s="9"/>
      <c r="Y79" s="9"/>
      <c r="Z79" s="9"/>
      <c r="AA79" s="9"/>
      <c r="AB79" s="9"/>
      <c r="AC79" s="9"/>
      <c r="AD79" s="9"/>
      <c r="AE79" s="9"/>
      <c r="AF79" s="9"/>
      <c r="AG79" s="9"/>
      <c r="AH79" s="9"/>
      <c r="AI79" s="9"/>
      <c r="AJ79" s="9"/>
      <c r="AK79" s="9"/>
      <c r="AL79" s="9"/>
      <c r="AM79" s="9"/>
      <c r="AN79" s="9"/>
    </row>
    <row r="80" spans="1:40" x14ac:dyDescent="0.25">
      <c r="A80" s="93" t="s">
        <v>96</v>
      </c>
      <c r="B80" s="93" t="s">
        <v>93</v>
      </c>
      <c r="C80" s="93" t="s">
        <v>137</v>
      </c>
      <c r="D80" s="93" t="s">
        <v>118</v>
      </c>
      <c r="E80" s="93" t="s">
        <v>95</v>
      </c>
      <c r="F80" s="93" t="s">
        <v>100</v>
      </c>
      <c r="G80" s="93"/>
      <c r="H80" s="93" t="s">
        <v>138</v>
      </c>
      <c r="I80" s="93">
        <v>-1515000</v>
      </c>
      <c r="J80" s="93"/>
      <c r="K80" s="93"/>
      <c r="L80" s="93"/>
      <c r="M80" s="93"/>
      <c r="N80" s="141"/>
      <c r="O80" s="141">
        <v>-1515000</v>
      </c>
      <c r="P80" s="141"/>
      <c r="Q80" s="141"/>
      <c r="S80" s="141"/>
      <c r="T80" s="126"/>
      <c r="U80" s="93"/>
      <c r="V80" s="9"/>
      <c r="W80" s="9"/>
      <c r="X80" s="9"/>
      <c r="Y80" s="9"/>
      <c r="Z80" s="9"/>
      <c r="AA80" s="9"/>
      <c r="AB80" s="9"/>
      <c r="AC80" s="9"/>
      <c r="AD80" s="9"/>
      <c r="AE80" s="9"/>
      <c r="AF80" s="9"/>
      <c r="AG80" s="9"/>
      <c r="AH80" s="9"/>
      <c r="AI80" s="9"/>
      <c r="AJ80" s="9"/>
      <c r="AK80" s="9"/>
      <c r="AL80" s="9"/>
      <c r="AM80" s="9"/>
      <c r="AN80" s="9"/>
    </row>
    <row r="81" spans="1:40" x14ac:dyDescent="0.25">
      <c r="A81" s="111" t="s">
        <v>96</v>
      </c>
      <c r="B81" s="111" t="s">
        <v>93</v>
      </c>
      <c r="C81" s="111" t="s">
        <v>139</v>
      </c>
      <c r="D81" s="111" t="s">
        <v>118</v>
      </c>
      <c r="E81" s="111" t="s">
        <v>95</v>
      </c>
      <c r="F81" s="111" t="s">
        <v>99</v>
      </c>
      <c r="G81" s="111" t="s">
        <v>140</v>
      </c>
      <c r="H81" s="111" t="s">
        <v>141</v>
      </c>
      <c r="I81" s="111">
        <v>-580186</v>
      </c>
      <c r="J81" s="111"/>
      <c r="K81" s="111"/>
      <c r="L81" s="111"/>
      <c r="M81" s="111"/>
      <c r="N81" s="141"/>
      <c r="O81" s="141">
        <v>-580186</v>
      </c>
      <c r="P81" s="141"/>
      <c r="Q81" s="141"/>
      <c r="S81" s="141"/>
      <c r="T81" s="126"/>
      <c r="U81" s="111"/>
      <c r="V81" s="9"/>
      <c r="W81" s="9"/>
      <c r="X81" s="9"/>
      <c r="Y81" s="9"/>
      <c r="Z81" s="9"/>
      <c r="AA81" s="9"/>
      <c r="AB81" s="9"/>
      <c r="AC81" s="9"/>
      <c r="AD81" s="9"/>
      <c r="AE81" s="9"/>
      <c r="AF81" s="9"/>
      <c r="AG81" s="9"/>
      <c r="AH81" s="9"/>
      <c r="AI81" s="9"/>
      <c r="AJ81" s="9"/>
      <c r="AK81" s="9"/>
      <c r="AL81" s="9"/>
      <c r="AM81" s="9"/>
      <c r="AN81" s="9"/>
    </row>
    <row r="82" spans="1:40" x14ac:dyDescent="0.25">
      <c r="A82" s="111" t="s">
        <v>96</v>
      </c>
      <c r="B82" s="111" t="s">
        <v>93</v>
      </c>
      <c r="C82" s="111" t="s">
        <v>142</v>
      </c>
      <c r="D82" s="111" t="s">
        <v>118</v>
      </c>
      <c r="E82" s="111" t="s">
        <v>117</v>
      </c>
      <c r="F82" s="111" t="s">
        <v>99</v>
      </c>
      <c r="G82" s="111" t="s">
        <v>143</v>
      </c>
      <c r="H82" s="111" t="s">
        <v>144</v>
      </c>
      <c r="I82" s="111">
        <v>-120639</v>
      </c>
      <c r="J82" s="111"/>
      <c r="K82" s="111">
        <v>-120639</v>
      </c>
      <c r="L82" s="111"/>
      <c r="M82" s="111"/>
      <c r="N82" s="141"/>
      <c r="O82" s="141"/>
      <c r="P82" s="141"/>
      <c r="Q82" s="141"/>
      <c r="S82" s="141"/>
      <c r="T82" s="126"/>
      <c r="U82" s="111"/>
      <c r="V82" s="9"/>
      <c r="W82" s="9"/>
      <c r="X82" s="9"/>
      <c r="Y82" s="9"/>
      <c r="Z82" s="9"/>
      <c r="AA82" s="9"/>
      <c r="AB82" s="9"/>
      <c r="AC82" s="9"/>
      <c r="AD82" s="9"/>
      <c r="AE82" s="9"/>
      <c r="AF82" s="9"/>
      <c r="AG82" s="9"/>
      <c r="AH82" s="9"/>
      <c r="AI82" s="9"/>
      <c r="AJ82" s="9"/>
      <c r="AK82" s="9"/>
      <c r="AL82" s="9"/>
      <c r="AM82" s="9"/>
      <c r="AN82" s="9"/>
    </row>
    <row r="83" spans="1:40" x14ac:dyDescent="0.25">
      <c r="A83" s="116" t="s">
        <v>96</v>
      </c>
      <c r="B83" s="116" t="s">
        <v>93</v>
      </c>
      <c r="C83" s="116" t="s">
        <v>145</v>
      </c>
      <c r="D83" s="116" t="s">
        <v>118</v>
      </c>
      <c r="E83" s="116" t="s">
        <v>95</v>
      </c>
      <c r="F83" s="116" t="s">
        <v>99</v>
      </c>
      <c r="G83" s="116" t="s">
        <v>146</v>
      </c>
      <c r="H83" s="116" t="s">
        <v>147</v>
      </c>
      <c r="I83" s="116">
        <v>-31179</v>
      </c>
      <c r="J83" s="116"/>
      <c r="K83" s="116"/>
      <c r="L83" s="116"/>
      <c r="M83" s="116"/>
      <c r="N83" s="141"/>
      <c r="O83" s="141">
        <v>-31179</v>
      </c>
      <c r="P83" s="141"/>
      <c r="Q83" s="141"/>
      <c r="S83" s="141"/>
      <c r="T83" s="126"/>
      <c r="U83" s="116"/>
      <c r="V83" s="9"/>
      <c r="W83" s="9"/>
      <c r="X83" s="9"/>
      <c r="Y83" s="9"/>
      <c r="Z83" s="9"/>
      <c r="AA83" s="9"/>
      <c r="AB83" s="9"/>
      <c r="AC83" s="9"/>
      <c r="AD83" s="9"/>
      <c r="AE83" s="9"/>
      <c r="AF83" s="9"/>
      <c r="AG83" s="9"/>
      <c r="AH83" s="9"/>
      <c r="AI83" s="9"/>
      <c r="AJ83" s="9"/>
      <c r="AK83" s="9"/>
      <c r="AL83" s="9"/>
      <c r="AM83" s="9"/>
      <c r="AN83" s="9"/>
    </row>
    <row r="84" spans="1:40" x14ac:dyDescent="0.25">
      <c r="A84" s="116" t="s">
        <v>96</v>
      </c>
      <c r="B84" s="116" t="s">
        <v>94</v>
      </c>
      <c r="C84" s="116" t="s">
        <v>131</v>
      </c>
      <c r="D84" s="116" t="s">
        <v>95</v>
      </c>
      <c r="E84" s="116" t="s">
        <v>118</v>
      </c>
      <c r="F84" s="116" t="s">
        <v>96</v>
      </c>
      <c r="G84" s="116" t="s">
        <v>127</v>
      </c>
      <c r="H84" s="116" t="s">
        <v>148</v>
      </c>
      <c r="I84" s="116">
        <v>559770</v>
      </c>
      <c r="J84" s="116"/>
      <c r="K84" s="116">
        <v>559770</v>
      </c>
      <c r="L84" s="116"/>
      <c r="M84" s="116"/>
      <c r="N84" s="141"/>
      <c r="O84" s="141"/>
      <c r="P84" s="141"/>
      <c r="Q84" s="141"/>
      <c r="S84" s="141"/>
      <c r="T84" s="126"/>
      <c r="U84" s="116"/>
      <c r="V84" s="9"/>
      <c r="W84" s="9"/>
      <c r="X84" s="9"/>
      <c r="Y84" s="9"/>
      <c r="Z84" s="9"/>
      <c r="AA84" s="9"/>
      <c r="AB84" s="9"/>
      <c r="AC84" s="9"/>
      <c r="AD84" s="9"/>
      <c r="AE84" s="9"/>
      <c r="AF84" s="9"/>
      <c r="AG84" s="9"/>
      <c r="AH84" s="9"/>
      <c r="AI84" s="9"/>
      <c r="AJ84" s="9"/>
      <c r="AK84" s="9"/>
      <c r="AL84" s="9"/>
      <c r="AM84" s="9"/>
      <c r="AN84" s="9"/>
    </row>
    <row r="85" spans="1:40" x14ac:dyDescent="0.25">
      <c r="A85" s="25" t="s">
        <v>96</v>
      </c>
      <c r="B85" s="25" t="s">
        <v>94</v>
      </c>
      <c r="C85" s="25" t="s">
        <v>126</v>
      </c>
      <c r="D85" s="25" t="s">
        <v>95</v>
      </c>
      <c r="E85" s="25" t="s">
        <v>118</v>
      </c>
      <c r="F85" s="25" t="s">
        <v>96</v>
      </c>
      <c r="G85" s="25" t="s">
        <v>127</v>
      </c>
      <c r="H85" s="25" t="s">
        <v>149</v>
      </c>
      <c r="I85" s="25">
        <v>220000</v>
      </c>
      <c r="K85" s="25">
        <v>220000</v>
      </c>
      <c r="N85" s="141"/>
      <c r="O85" s="141"/>
      <c r="P85" s="141"/>
      <c r="Q85" s="141"/>
      <c r="S85" s="141"/>
      <c r="T85" s="126"/>
      <c r="Z85" s="9"/>
      <c r="AA85" s="9"/>
      <c r="AB85" s="9"/>
      <c r="AC85" s="9"/>
      <c r="AD85" s="9"/>
      <c r="AE85" s="9"/>
      <c r="AF85" s="9"/>
      <c r="AG85" s="9"/>
      <c r="AH85" s="9"/>
      <c r="AI85" s="9"/>
      <c r="AJ85" s="9"/>
      <c r="AK85" s="9"/>
      <c r="AL85" s="9"/>
      <c r="AM85" s="9"/>
      <c r="AN85" s="9"/>
    </row>
    <row r="86" spans="1:40" x14ac:dyDescent="0.25">
      <c r="A86" s="25" t="s">
        <v>96</v>
      </c>
      <c r="B86" s="25" t="s">
        <v>114</v>
      </c>
      <c r="C86" s="25" t="s">
        <v>150</v>
      </c>
      <c r="D86" s="25" t="s">
        <v>151</v>
      </c>
      <c r="E86" s="25" t="s">
        <v>118</v>
      </c>
      <c r="H86" s="25" t="s">
        <v>152</v>
      </c>
      <c r="I86" s="25">
        <v>496377</v>
      </c>
      <c r="K86" s="25">
        <v>496377</v>
      </c>
      <c r="N86" s="141"/>
      <c r="O86" s="141"/>
      <c r="P86" s="141"/>
      <c r="Q86" s="141"/>
      <c r="S86" s="141"/>
      <c r="T86" s="126"/>
      <c r="Z86" s="9"/>
      <c r="AA86" s="9"/>
      <c r="AB86" s="9"/>
      <c r="AC86" s="9"/>
      <c r="AD86" s="9"/>
      <c r="AE86" s="9"/>
      <c r="AF86" s="9"/>
      <c r="AG86" s="9"/>
      <c r="AH86" s="9"/>
      <c r="AI86" s="9"/>
      <c r="AJ86" s="9"/>
      <c r="AK86" s="9"/>
      <c r="AL86" s="9"/>
      <c r="AM86" s="9"/>
      <c r="AN86" s="9"/>
    </row>
    <row r="87" spans="1:40" x14ac:dyDescent="0.25">
      <c r="A87" s="126" t="s">
        <v>96</v>
      </c>
      <c r="B87" s="126" t="s">
        <v>114</v>
      </c>
      <c r="C87" s="126" t="s">
        <v>153</v>
      </c>
      <c r="D87" s="126" t="s">
        <v>151</v>
      </c>
      <c r="E87" s="126" t="s">
        <v>118</v>
      </c>
      <c r="F87" s="126" t="s">
        <v>97</v>
      </c>
      <c r="G87" s="126"/>
      <c r="H87" s="126" t="s">
        <v>154</v>
      </c>
      <c r="I87" s="126">
        <v>289145</v>
      </c>
      <c r="J87" s="126"/>
      <c r="K87" s="126"/>
      <c r="L87" s="126"/>
      <c r="M87" s="126"/>
      <c r="N87" s="141"/>
      <c r="O87" s="141">
        <v>289145</v>
      </c>
      <c r="P87" s="141"/>
      <c r="Q87" s="141"/>
      <c r="S87" s="141"/>
      <c r="T87" s="126"/>
      <c r="Z87" s="9"/>
      <c r="AA87" s="9"/>
      <c r="AB87" s="9"/>
      <c r="AC87" s="9"/>
      <c r="AD87" s="9"/>
      <c r="AE87" s="9"/>
      <c r="AF87" s="9"/>
      <c r="AG87" s="9"/>
      <c r="AH87" s="9"/>
      <c r="AI87" s="9"/>
      <c r="AJ87" s="9"/>
      <c r="AK87" s="9"/>
      <c r="AL87" s="9"/>
      <c r="AM87" s="9"/>
      <c r="AN87" s="9"/>
    </row>
    <row r="88" spans="1:40" x14ac:dyDescent="0.25">
      <c r="A88" s="126" t="s">
        <v>96</v>
      </c>
      <c r="B88" s="126" t="s">
        <v>110</v>
      </c>
      <c r="C88" s="126" t="s">
        <v>192</v>
      </c>
      <c r="D88" s="126" t="s">
        <v>118</v>
      </c>
      <c r="E88" s="126" t="s">
        <v>95</v>
      </c>
      <c r="F88" s="126"/>
      <c r="G88" s="126" t="s">
        <v>193</v>
      </c>
      <c r="H88" s="126" t="s">
        <v>194</v>
      </c>
      <c r="I88" s="126">
        <v>-26312</v>
      </c>
      <c r="J88" s="126"/>
      <c r="K88" s="126"/>
      <c r="L88" s="126"/>
      <c r="M88" s="126"/>
      <c r="N88" s="141"/>
      <c r="O88" s="141"/>
      <c r="P88" s="141"/>
      <c r="Q88" s="141"/>
      <c r="S88" s="141"/>
      <c r="T88" s="73"/>
      <c r="U88" s="73"/>
      <c r="Z88" s="9"/>
      <c r="AA88" s="9"/>
      <c r="AB88" s="9"/>
      <c r="AC88" s="9"/>
      <c r="AD88" s="9"/>
      <c r="AE88" s="9"/>
      <c r="AF88" s="9"/>
      <c r="AG88" s="9"/>
      <c r="AH88" s="9"/>
      <c r="AI88" s="9"/>
      <c r="AJ88" s="9"/>
      <c r="AK88" s="9"/>
      <c r="AL88" s="9"/>
      <c r="AM88" s="9"/>
      <c r="AN88" s="9"/>
    </row>
    <row r="89" spans="1:40" x14ac:dyDescent="0.25">
      <c r="A89" s="126" t="s">
        <v>100</v>
      </c>
      <c r="B89" s="126" t="s">
        <v>124</v>
      </c>
      <c r="C89" s="126" t="s">
        <v>155</v>
      </c>
      <c r="D89" s="126" t="s">
        <v>116</v>
      </c>
      <c r="E89" s="126" t="s">
        <v>118</v>
      </c>
      <c r="F89" s="126" t="s">
        <v>105</v>
      </c>
      <c r="G89" s="126"/>
      <c r="H89" s="126" t="s">
        <v>156</v>
      </c>
      <c r="I89" s="126">
        <v>162000</v>
      </c>
      <c r="J89" s="126"/>
      <c r="K89" s="126">
        <v>162000</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124</v>
      </c>
      <c r="C90" s="126" t="s">
        <v>157</v>
      </c>
      <c r="D90" s="126" t="s">
        <v>151</v>
      </c>
      <c r="E90" s="126" t="s">
        <v>118</v>
      </c>
      <c r="F90" s="126" t="s">
        <v>105</v>
      </c>
      <c r="G90" s="126"/>
      <c r="H90" s="126" t="s">
        <v>158</v>
      </c>
      <c r="I90" s="126">
        <v>156743</v>
      </c>
      <c r="J90" s="126"/>
      <c r="K90" s="126">
        <v>156743</v>
      </c>
      <c r="L90" s="126"/>
      <c r="M90" s="126"/>
      <c r="N90" s="141"/>
      <c r="O90" s="141"/>
      <c r="P90" s="141"/>
      <c r="Q90" s="141"/>
      <c r="S90" s="141"/>
      <c r="Z90" s="9"/>
      <c r="AA90" s="9"/>
      <c r="AB90" s="9"/>
      <c r="AC90" s="9"/>
      <c r="AD90" s="9"/>
      <c r="AE90" s="9"/>
      <c r="AF90" s="9"/>
      <c r="AG90" s="9"/>
      <c r="AH90" s="9"/>
      <c r="AI90" s="9"/>
      <c r="AJ90" s="9"/>
      <c r="AK90" s="9"/>
      <c r="AL90" s="9"/>
      <c r="AM90" s="9"/>
      <c r="AN90" s="9"/>
    </row>
    <row r="91" spans="1:40" x14ac:dyDescent="0.25">
      <c r="A91" s="126" t="s">
        <v>100</v>
      </c>
      <c r="B91" s="126" t="s">
        <v>93</v>
      </c>
      <c r="C91" s="126" t="s">
        <v>159</v>
      </c>
      <c r="D91" s="126" t="s">
        <v>118</v>
      </c>
      <c r="E91" s="126" t="s">
        <v>95</v>
      </c>
      <c r="F91" s="126" t="s">
        <v>99</v>
      </c>
      <c r="G91" s="126" t="s">
        <v>160</v>
      </c>
      <c r="H91" s="126" t="s">
        <v>128</v>
      </c>
      <c r="I91" s="126">
        <v>-600000</v>
      </c>
      <c r="J91" s="126"/>
      <c r="K91" s="126">
        <v>-600000</v>
      </c>
      <c r="L91" s="126"/>
      <c r="M91" s="126"/>
      <c r="N91" s="141"/>
      <c r="O91" s="141"/>
      <c r="P91" s="141"/>
      <c r="Q91" s="141"/>
      <c r="S91" s="141"/>
      <c r="Z91" s="9"/>
      <c r="AA91" s="9"/>
      <c r="AB91" s="9"/>
      <c r="AC91" s="9"/>
      <c r="AD91" s="9"/>
      <c r="AE91" s="9"/>
      <c r="AF91" s="9"/>
      <c r="AG91" s="9"/>
      <c r="AH91" s="9"/>
      <c r="AI91" s="9"/>
      <c r="AJ91" s="9"/>
      <c r="AK91" s="9"/>
      <c r="AL91" s="9"/>
      <c r="AM91" s="9"/>
      <c r="AN91" s="9"/>
    </row>
    <row r="92" spans="1:40" x14ac:dyDescent="0.25">
      <c r="A92" s="126" t="s">
        <v>100</v>
      </c>
      <c r="B92" s="126" t="s">
        <v>93</v>
      </c>
      <c r="C92" s="126" t="s">
        <v>161</v>
      </c>
      <c r="D92" s="126" t="s">
        <v>118</v>
      </c>
      <c r="E92" s="126" t="s">
        <v>98</v>
      </c>
      <c r="F92" s="126" t="s">
        <v>99</v>
      </c>
      <c r="G92" s="126" t="s">
        <v>162</v>
      </c>
      <c r="H92" s="126" t="s">
        <v>163</v>
      </c>
      <c r="I92" s="126">
        <v>-500000</v>
      </c>
      <c r="J92" s="126"/>
      <c r="K92" s="126"/>
      <c r="L92" s="126"/>
      <c r="M92" s="126"/>
      <c r="N92" s="141"/>
      <c r="O92" s="141">
        <v>-500000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93</v>
      </c>
      <c r="C93" s="126" t="s">
        <v>164</v>
      </c>
      <c r="D93" s="126" t="s">
        <v>118</v>
      </c>
      <c r="E93" s="126" t="s">
        <v>95</v>
      </c>
      <c r="F93" s="126" t="s">
        <v>99</v>
      </c>
      <c r="G93" s="126" t="s">
        <v>165</v>
      </c>
      <c r="H93" s="126" t="s">
        <v>166</v>
      </c>
      <c r="I93" s="126">
        <v>-35247.72</v>
      </c>
      <c r="J93" s="126"/>
      <c r="K93" s="126">
        <v>-35247.72</v>
      </c>
      <c r="L93" s="126"/>
      <c r="M93" s="126"/>
      <c r="N93" s="141"/>
      <c r="O93" s="141"/>
      <c r="P93" s="141"/>
      <c r="Q93" s="141"/>
      <c r="S93" s="141"/>
      <c r="Z93" s="9"/>
      <c r="AA93" s="9"/>
      <c r="AB93" s="9"/>
      <c r="AC93" s="9"/>
      <c r="AD93" s="9"/>
      <c r="AE93" s="9"/>
      <c r="AF93" s="9"/>
      <c r="AG93" s="9"/>
      <c r="AH93" s="9"/>
      <c r="AI93" s="9"/>
      <c r="AJ93" s="9"/>
      <c r="AK93" s="9"/>
      <c r="AL93" s="9"/>
      <c r="AM93" s="9"/>
      <c r="AN93" s="9"/>
    </row>
    <row r="94" spans="1:40" x14ac:dyDescent="0.25">
      <c r="A94" s="126" t="s">
        <v>100</v>
      </c>
      <c r="B94" s="126" t="s">
        <v>94</v>
      </c>
      <c r="C94" s="126" t="s">
        <v>137</v>
      </c>
      <c r="D94" s="126" t="s">
        <v>95</v>
      </c>
      <c r="E94" s="126" t="s">
        <v>118</v>
      </c>
      <c r="F94" s="126" t="s">
        <v>100</v>
      </c>
      <c r="G94" s="126"/>
      <c r="H94" s="126" t="s">
        <v>138</v>
      </c>
      <c r="I94" s="126">
        <v>1515000</v>
      </c>
      <c r="J94" s="126"/>
      <c r="K94" s="126"/>
      <c r="L94" s="126"/>
      <c r="M94" s="126"/>
      <c r="N94" s="141"/>
      <c r="O94" s="141">
        <v>1515000</v>
      </c>
      <c r="P94" s="141"/>
      <c r="Q94" s="141"/>
      <c r="S94" s="141"/>
      <c r="Z94" s="9"/>
      <c r="AA94" s="9"/>
      <c r="AB94" s="9"/>
      <c r="AC94" s="9"/>
      <c r="AD94" s="9"/>
      <c r="AE94" s="9"/>
      <c r="AF94" s="9"/>
      <c r="AG94" s="9"/>
      <c r="AH94" s="9"/>
      <c r="AI94" s="9"/>
      <c r="AJ94" s="9"/>
      <c r="AK94" s="9"/>
      <c r="AL94" s="9"/>
      <c r="AM94" s="9"/>
      <c r="AN94" s="9"/>
    </row>
    <row r="95" spans="1:40" x14ac:dyDescent="0.25">
      <c r="A95" s="126" t="s">
        <v>100</v>
      </c>
      <c r="B95" s="126" t="s">
        <v>167</v>
      </c>
      <c r="C95" s="126" t="s">
        <v>122</v>
      </c>
      <c r="D95" s="126" t="s">
        <v>118</v>
      </c>
      <c r="E95" s="126" t="s">
        <v>119</v>
      </c>
      <c r="F95" s="126"/>
      <c r="G95" s="126"/>
      <c r="H95" s="126" t="s">
        <v>168</v>
      </c>
      <c r="I95" s="126">
        <v>-1515000</v>
      </c>
      <c r="J95" s="126"/>
      <c r="K95" s="126"/>
      <c r="L95" s="126"/>
      <c r="M95" s="126"/>
      <c r="N95" s="141"/>
      <c r="O95" s="141">
        <v>-1515000</v>
      </c>
      <c r="P95" s="141"/>
      <c r="Q95" s="141"/>
      <c r="S95" s="141"/>
      <c r="Z95" s="9"/>
      <c r="AA95" s="9"/>
      <c r="AB95" s="9"/>
      <c r="AC95" s="9"/>
      <c r="AD95" s="9"/>
      <c r="AE95" s="9"/>
      <c r="AF95" s="9"/>
      <c r="AG95" s="9"/>
      <c r="AH95" s="9"/>
      <c r="AI95" s="9"/>
      <c r="AJ95" s="9"/>
      <c r="AK95" s="9"/>
      <c r="AL95" s="9"/>
      <c r="AM95" s="9"/>
      <c r="AN95" s="9"/>
    </row>
    <row r="96" spans="1:40" x14ac:dyDescent="0.25">
      <c r="A96" s="126" t="s">
        <v>100</v>
      </c>
      <c r="B96" s="126" t="s">
        <v>167</v>
      </c>
      <c r="C96" s="126" t="s">
        <v>135</v>
      </c>
      <c r="D96" s="126" t="s">
        <v>118</v>
      </c>
      <c r="E96" s="126" t="s">
        <v>98</v>
      </c>
      <c r="F96" s="126" t="s">
        <v>100</v>
      </c>
      <c r="G96" s="126"/>
      <c r="H96" s="126" t="s">
        <v>136</v>
      </c>
      <c r="I96" s="126">
        <v>-200000</v>
      </c>
      <c r="J96" s="126"/>
      <c r="K96" s="126"/>
      <c r="L96" s="126"/>
      <c r="M96" s="126"/>
      <c r="N96" s="141"/>
      <c r="O96" s="141">
        <v>-200000</v>
      </c>
      <c r="P96" s="141"/>
      <c r="Q96" s="141"/>
      <c r="S96" s="141"/>
      <c r="Z96" s="9"/>
      <c r="AA96" s="9"/>
      <c r="AB96" s="9"/>
      <c r="AC96" s="9"/>
      <c r="AD96" s="9"/>
      <c r="AE96" s="9"/>
      <c r="AF96" s="9"/>
      <c r="AG96" s="9"/>
      <c r="AH96" s="9"/>
      <c r="AI96" s="9"/>
      <c r="AJ96" s="9"/>
      <c r="AK96" s="9"/>
      <c r="AL96" s="9"/>
      <c r="AM96" s="9"/>
      <c r="AN96" s="9"/>
    </row>
    <row r="97" spans="1:40" x14ac:dyDescent="0.25">
      <c r="A97" s="126" t="s">
        <v>100</v>
      </c>
      <c r="B97" s="126" t="s">
        <v>114</v>
      </c>
      <c r="C97" s="126" t="s">
        <v>153</v>
      </c>
      <c r="D97" s="126" t="s">
        <v>151</v>
      </c>
      <c r="E97" s="126" t="s">
        <v>118</v>
      </c>
      <c r="F97" s="126" t="s">
        <v>97</v>
      </c>
      <c r="G97" s="126"/>
      <c r="H97" s="126" t="s">
        <v>169</v>
      </c>
      <c r="I97" s="126">
        <v>289145</v>
      </c>
      <c r="J97" s="126"/>
      <c r="K97" s="126"/>
      <c r="L97" s="126"/>
      <c r="M97" s="126"/>
      <c r="N97" s="141"/>
      <c r="O97" s="141">
        <v>289145</v>
      </c>
      <c r="P97" s="141"/>
      <c r="Q97" s="141"/>
      <c r="S97" s="141"/>
      <c r="AD97" s="9"/>
      <c r="AE97" s="9"/>
      <c r="AF97" s="9"/>
      <c r="AG97" s="9"/>
      <c r="AH97" s="9"/>
      <c r="AI97" s="9"/>
      <c r="AJ97" s="9"/>
      <c r="AK97" s="9"/>
      <c r="AL97" s="9"/>
      <c r="AM97" s="9"/>
      <c r="AN97" s="9"/>
    </row>
    <row r="98" spans="1:40" x14ac:dyDescent="0.25">
      <c r="A98" s="137" t="s">
        <v>99</v>
      </c>
      <c r="B98" s="137" t="s">
        <v>124</v>
      </c>
      <c r="C98" s="137" t="s">
        <v>170</v>
      </c>
      <c r="D98" s="137" t="s">
        <v>95</v>
      </c>
      <c r="E98" s="137" t="s">
        <v>118</v>
      </c>
      <c r="F98" s="137" t="s">
        <v>171</v>
      </c>
      <c r="G98" s="137" t="s">
        <v>165</v>
      </c>
      <c r="H98" s="137" t="s">
        <v>172</v>
      </c>
      <c r="I98" s="137">
        <v>364793</v>
      </c>
      <c r="J98" s="137"/>
      <c r="K98" s="137">
        <v>364793</v>
      </c>
      <c r="L98" s="137"/>
      <c r="M98" s="137"/>
      <c r="N98" s="141"/>
      <c r="O98" s="141"/>
      <c r="P98" s="141"/>
      <c r="Q98" s="141"/>
      <c r="S98" s="141"/>
      <c r="AD98" s="9"/>
      <c r="AE98" s="9"/>
      <c r="AF98" s="9"/>
      <c r="AG98" s="9"/>
      <c r="AH98" s="9"/>
      <c r="AI98" s="9"/>
      <c r="AJ98" s="9"/>
      <c r="AK98" s="9"/>
      <c r="AL98" s="9"/>
      <c r="AM98" s="9"/>
      <c r="AN98" s="9"/>
    </row>
    <row r="99" spans="1:40" x14ac:dyDescent="0.25">
      <c r="A99" s="137" t="s">
        <v>99</v>
      </c>
      <c r="B99" s="137" t="s">
        <v>124</v>
      </c>
      <c r="C99" s="137" t="s">
        <v>173</v>
      </c>
      <c r="D99" s="137" t="s">
        <v>95</v>
      </c>
      <c r="E99" s="137" t="s">
        <v>118</v>
      </c>
      <c r="F99" s="137" t="s">
        <v>104</v>
      </c>
      <c r="G99" s="137" t="s">
        <v>174</v>
      </c>
      <c r="H99" s="137" t="s">
        <v>175</v>
      </c>
      <c r="I99" s="137">
        <v>319592</v>
      </c>
      <c r="J99" s="137"/>
      <c r="K99" s="137"/>
      <c r="L99" s="137"/>
      <c r="M99" s="137"/>
      <c r="N99" s="141"/>
      <c r="O99" s="141">
        <v>319592</v>
      </c>
      <c r="P99" s="141"/>
      <c r="Q99" s="141"/>
      <c r="S99" s="141"/>
      <c r="AD99" s="9"/>
      <c r="AE99" s="9"/>
      <c r="AF99" s="9"/>
      <c r="AG99" s="9"/>
      <c r="AH99" s="9"/>
      <c r="AI99" s="9"/>
      <c r="AJ99" s="9"/>
      <c r="AK99" s="9"/>
      <c r="AL99" s="9"/>
      <c r="AM99" s="9"/>
      <c r="AN99" s="9"/>
    </row>
    <row r="100" spans="1:40" x14ac:dyDescent="0.25">
      <c r="A100" s="137" t="s">
        <v>99</v>
      </c>
      <c r="B100" s="137" t="s">
        <v>93</v>
      </c>
      <c r="C100" s="137" t="s">
        <v>176</v>
      </c>
      <c r="D100" s="137" t="s">
        <v>118</v>
      </c>
      <c r="E100" s="137" t="s">
        <v>95</v>
      </c>
      <c r="F100" s="137" t="s">
        <v>97</v>
      </c>
      <c r="G100" s="137"/>
      <c r="H100" s="137" t="s">
        <v>177</v>
      </c>
      <c r="I100" s="137">
        <v>-344098.48</v>
      </c>
      <c r="J100" s="137"/>
      <c r="K100" s="137">
        <v>-42536.67</v>
      </c>
      <c r="L100" s="137"/>
      <c r="M100" s="137"/>
      <c r="N100" s="141"/>
      <c r="O100" s="141">
        <v>-301561.81</v>
      </c>
      <c r="P100" s="141"/>
      <c r="Q100" s="141"/>
      <c r="S100" s="141"/>
      <c r="AD100" s="9"/>
      <c r="AE100" s="9"/>
      <c r="AF100" s="9"/>
      <c r="AG100" s="9"/>
      <c r="AH100" s="9"/>
      <c r="AI100" s="9"/>
      <c r="AJ100" s="9"/>
      <c r="AK100" s="9"/>
      <c r="AL100" s="9"/>
      <c r="AM100" s="9"/>
      <c r="AN100" s="9"/>
    </row>
    <row r="101" spans="1:40" x14ac:dyDescent="0.25">
      <c r="A101" s="137" t="s">
        <v>99</v>
      </c>
      <c r="B101" s="137" t="s">
        <v>94</v>
      </c>
      <c r="C101" s="137" t="s">
        <v>159</v>
      </c>
      <c r="D101" s="137" t="s">
        <v>95</v>
      </c>
      <c r="E101" s="137" t="s">
        <v>118</v>
      </c>
      <c r="F101" s="137" t="s">
        <v>99</v>
      </c>
      <c r="G101" s="137" t="s">
        <v>160</v>
      </c>
      <c r="H101" s="137" t="s">
        <v>178</v>
      </c>
      <c r="I101" s="137">
        <v>600000</v>
      </c>
      <c r="J101" s="137"/>
      <c r="K101" s="137">
        <v>600000</v>
      </c>
      <c r="L101" s="137"/>
      <c r="M101" s="137"/>
      <c r="N101" s="141"/>
      <c r="O101" s="141"/>
      <c r="P101" s="141"/>
      <c r="Q101" s="141"/>
      <c r="S101" s="141"/>
      <c r="AD101" s="9"/>
      <c r="AE101" s="9"/>
      <c r="AF101" s="9"/>
      <c r="AG101" s="9"/>
      <c r="AH101" s="9"/>
      <c r="AI101" s="9"/>
      <c r="AJ101" s="9"/>
      <c r="AK101" s="9"/>
      <c r="AL101" s="9"/>
      <c r="AM101" s="9"/>
      <c r="AN101" s="9"/>
    </row>
    <row r="102" spans="1:40" x14ac:dyDescent="0.25">
      <c r="A102" s="137" t="s">
        <v>99</v>
      </c>
      <c r="B102" s="137" t="s">
        <v>94</v>
      </c>
      <c r="C102" s="137" t="s">
        <v>161</v>
      </c>
      <c r="D102" s="137" t="s">
        <v>98</v>
      </c>
      <c r="E102" s="137" t="s">
        <v>118</v>
      </c>
      <c r="F102" s="137" t="s">
        <v>99</v>
      </c>
      <c r="G102" s="137" t="s">
        <v>162</v>
      </c>
      <c r="H102" s="137" t="s">
        <v>163</v>
      </c>
      <c r="I102" s="137">
        <v>500000</v>
      </c>
      <c r="J102" s="137"/>
      <c r="K102" s="137"/>
      <c r="L102" s="137"/>
      <c r="M102" s="137"/>
      <c r="N102" s="141"/>
      <c r="O102" s="141">
        <v>500000</v>
      </c>
      <c r="P102" s="141"/>
      <c r="Q102" s="141"/>
      <c r="S102" s="141"/>
      <c r="AD102" s="9"/>
      <c r="AE102" s="9"/>
      <c r="AF102" s="9"/>
      <c r="AG102" s="9"/>
      <c r="AH102" s="9"/>
      <c r="AI102" s="9"/>
      <c r="AJ102" s="9"/>
      <c r="AK102" s="9"/>
      <c r="AL102" s="9"/>
      <c r="AM102" s="9"/>
      <c r="AN102" s="9"/>
    </row>
    <row r="103" spans="1:40" x14ac:dyDescent="0.25">
      <c r="A103" s="137" t="s">
        <v>99</v>
      </c>
      <c r="B103" s="137" t="s">
        <v>94</v>
      </c>
      <c r="C103" s="137" t="s">
        <v>139</v>
      </c>
      <c r="D103" s="137" t="s">
        <v>95</v>
      </c>
      <c r="E103" s="137" t="s">
        <v>118</v>
      </c>
      <c r="F103" s="137"/>
      <c r="G103" s="137" t="s">
        <v>140</v>
      </c>
      <c r="H103" s="137" t="s">
        <v>179</v>
      </c>
      <c r="I103" s="137">
        <v>580186</v>
      </c>
      <c r="J103" s="137"/>
      <c r="K103" s="137"/>
      <c r="L103" s="137"/>
      <c r="M103" s="137"/>
      <c r="N103" s="141"/>
      <c r="O103" s="141">
        <v>580186</v>
      </c>
      <c r="P103" s="141"/>
      <c r="Q103" s="141"/>
      <c r="S103" s="141"/>
      <c r="AD103" s="9"/>
      <c r="AE103" s="9"/>
      <c r="AF103" s="9"/>
      <c r="AG103" s="9"/>
      <c r="AH103" s="9"/>
      <c r="AI103" s="9"/>
      <c r="AJ103" s="9"/>
      <c r="AK103" s="9"/>
      <c r="AL103" s="9"/>
      <c r="AM103" s="9"/>
      <c r="AN103" s="9"/>
    </row>
    <row r="104" spans="1:40" x14ac:dyDescent="0.25">
      <c r="A104" s="137" t="s">
        <v>99</v>
      </c>
      <c r="B104" s="137" t="s">
        <v>94</v>
      </c>
      <c r="C104" s="137" t="s">
        <v>142</v>
      </c>
      <c r="D104" s="137" t="s">
        <v>117</v>
      </c>
      <c r="E104" s="137" t="s">
        <v>118</v>
      </c>
      <c r="F104" s="137"/>
      <c r="G104" s="137" t="s">
        <v>143</v>
      </c>
      <c r="H104" s="137" t="s">
        <v>180</v>
      </c>
      <c r="I104" s="137">
        <v>120639</v>
      </c>
      <c r="J104" s="137"/>
      <c r="K104" s="137">
        <v>120639</v>
      </c>
      <c r="L104" s="137"/>
      <c r="M104" s="137"/>
      <c r="N104" s="141"/>
      <c r="O104" s="141"/>
      <c r="P104" s="141"/>
      <c r="Q104" s="141"/>
      <c r="S104" s="141"/>
      <c r="AD104" s="9"/>
      <c r="AE104" s="9"/>
      <c r="AF104" s="9"/>
      <c r="AG104" s="9"/>
      <c r="AH104" s="9"/>
      <c r="AI104" s="9"/>
      <c r="AJ104" s="9"/>
      <c r="AK104" s="9"/>
      <c r="AL104" s="9"/>
      <c r="AM104" s="9"/>
      <c r="AN104" s="9"/>
    </row>
    <row r="105" spans="1:40" x14ac:dyDescent="0.25">
      <c r="A105" s="137" t="s">
        <v>99</v>
      </c>
      <c r="B105" s="137" t="s">
        <v>94</v>
      </c>
      <c r="C105" s="137" t="s">
        <v>145</v>
      </c>
      <c r="D105" s="137" t="s">
        <v>95</v>
      </c>
      <c r="E105" s="137" t="s">
        <v>118</v>
      </c>
      <c r="F105" s="137"/>
      <c r="G105" s="137" t="s">
        <v>146</v>
      </c>
      <c r="H105" s="137" t="s">
        <v>147</v>
      </c>
      <c r="I105" s="137">
        <v>31179</v>
      </c>
      <c r="J105" s="137"/>
      <c r="K105" s="137"/>
      <c r="L105" s="137"/>
      <c r="M105" s="137"/>
      <c r="N105" s="141"/>
      <c r="O105" s="141">
        <v>31179</v>
      </c>
      <c r="P105" s="141"/>
      <c r="Q105" s="141"/>
      <c r="S105" s="141"/>
      <c r="AD105" s="9"/>
      <c r="AE105" s="9"/>
      <c r="AF105" s="9"/>
      <c r="AG105" s="9"/>
      <c r="AH105" s="9"/>
      <c r="AI105" s="9"/>
      <c r="AJ105" s="9"/>
      <c r="AK105" s="9"/>
      <c r="AL105" s="9"/>
      <c r="AM105" s="9"/>
      <c r="AN105" s="9"/>
    </row>
    <row r="106" spans="1:40" x14ac:dyDescent="0.25">
      <c r="A106" s="137" t="s">
        <v>99</v>
      </c>
      <c r="B106" s="137" t="s">
        <v>94</v>
      </c>
      <c r="C106" s="137" t="s">
        <v>164</v>
      </c>
      <c r="D106" s="137" t="s">
        <v>95</v>
      </c>
      <c r="E106" s="137" t="s">
        <v>118</v>
      </c>
      <c r="F106" s="137" t="s">
        <v>99</v>
      </c>
      <c r="G106" s="137" t="s">
        <v>165</v>
      </c>
      <c r="H106" s="137" t="s">
        <v>166</v>
      </c>
      <c r="I106" s="137">
        <v>35247.72</v>
      </c>
      <c r="J106" s="137"/>
      <c r="K106" s="137">
        <v>35247.72</v>
      </c>
      <c r="L106" s="137"/>
      <c r="M106" s="137"/>
      <c r="N106" s="141"/>
      <c r="O106" s="141"/>
      <c r="P106" s="141"/>
      <c r="Q106" s="141"/>
      <c r="S106" s="141"/>
      <c r="AD106" s="9"/>
      <c r="AE106" s="9"/>
      <c r="AF106" s="9"/>
      <c r="AG106" s="9"/>
      <c r="AH106" s="9"/>
      <c r="AI106" s="9"/>
      <c r="AJ106" s="9"/>
      <c r="AK106" s="9"/>
      <c r="AL106" s="9"/>
      <c r="AM106" s="9"/>
      <c r="AN106" s="9"/>
    </row>
    <row r="107" spans="1:40" x14ac:dyDescent="0.25">
      <c r="A107" s="137" t="s">
        <v>99</v>
      </c>
      <c r="B107" s="137" t="s">
        <v>114</v>
      </c>
      <c r="C107" s="137" t="s">
        <v>153</v>
      </c>
      <c r="D107" s="137" t="s">
        <v>151</v>
      </c>
      <c r="E107" s="137" t="s">
        <v>118</v>
      </c>
      <c r="F107" s="137" t="s">
        <v>97</v>
      </c>
      <c r="G107" s="137"/>
      <c r="H107" s="137" t="s">
        <v>181</v>
      </c>
      <c r="I107" s="137">
        <v>289145</v>
      </c>
      <c r="J107" s="137"/>
      <c r="K107" s="137"/>
      <c r="L107" s="137"/>
      <c r="M107" s="137"/>
      <c r="N107" s="141"/>
      <c r="O107" s="141">
        <v>289145</v>
      </c>
      <c r="P107" s="141"/>
      <c r="Q107" s="141"/>
      <c r="S107" s="141"/>
      <c r="AD107" s="9"/>
      <c r="AE107" s="9"/>
      <c r="AF107" s="9"/>
      <c r="AG107" s="9"/>
      <c r="AH107" s="9"/>
      <c r="AI107" s="9"/>
      <c r="AJ107" s="9"/>
      <c r="AK107" s="9"/>
      <c r="AL107" s="9"/>
      <c r="AM107" s="9"/>
      <c r="AN107" s="9"/>
    </row>
    <row r="108" spans="1:40" x14ac:dyDescent="0.25">
      <c r="A108" s="137" t="s">
        <v>104</v>
      </c>
      <c r="B108" s="137" t="s">
        <v>93</v>
      </c>
      <c r="C108" s="137" t="s">
        <v>182</v>
      </c>
      <c r="D108" s="137" t="s">
        <v>118</v>
      </c>
      <c r="E108" s="137" t="s">
        <v>95</v>
      </c>
      <c r="F108" s="137" t="s">
        <v>105</v>
      </c>
      <c r="G108" s="137" t="s">
        <v>183</v>
      </c>
      <c r="H108" s="137" t="s">
        <v>184</v>
      </c>
      <c r="I108" s="137">
        <v>-252000</v>
      </c>
      <c r="J108" s="137"/>
      <c r="K108" s="137"/>
      <c r="L108" s="137"/>
      <c r="M108" s="137"/>
      <c r="N108" s="141"/>
      <c r="O108" s="141">
        <v>-252000</v>
      </c>
      <c r="P108" s="141"/>
      <c r="Q108" s="141"/>
      <c r="S108" s="141"/>
      <c r="AD108" s="9"/>
      <c r="AE108" s="9"/>
      <c r="AF108" s="9"/>
      <c r="AG108" s="9"/>
      <c r="AH108" s="9"/>
      <c r="AI108" s="9"/>
      <c r="AJ108" s="9"/>
      <c r="AK108" s="9"/>
      <c r="AL108" s="9"/>
      <c r="AM108" s="9"/>
      <c r="AN108" s="9"/>
    </row>
    <row r="109" spans="1:40" x14ac:dyDescent="0.25">
      <c r="A109" s="137" t="s">
        <v>104</v>
      </c>
      <c r="B109" s="137" t="s">
        <v>93</v>
      </c>
      <c r="C109" s="137" t="s">
        <v>182</v>
      </c>
      <c r="D109" s="137" t="s">
        <v>118</v>
      </c>
      <c r="E109" s="137" t="s">
        <v>95</v>
      </c>
      <c r="F109" s="137" t="s">
        <v>105</v>
      </c>
      <c r="G109" s="137" t="s">
        <v>185</v>
      </c>
      <c r="H109" s="137" t="s">
        <v>166</v>
      </c>
      <c r="I109" s="137">
        <v>-150000</v>
      </c>
      <c r="J109" s="137"/>
      <c r="K109" s="137">
        <v>-150000</v>
      </c>
      <c r="L109" s="137"/>
      <c r="M109" s="137"/>
      <c r="N109" s="141"/>
      <c r="O109" s="141"/>
      <c r="P109" s="141"/>
      <c r="Q109" s="141"/>
      <c r="S109" s="141"/>
      <c r="AD109" s="9"/>
      <c r="AE109" s="9"/>
      <c r="AF109" s="9"/>
      <c r="AG109" s="9"/>
      <c r="AH109" s="9"/>
      <c r="AI109" s="9"/>
      <c r="AJ109" s="9"/>
      <c r="AK109" s="9"/>
      <c r="AL109" s="9"/>
      <c r="AM109" s="9"/>
      <c r="AN109" s="9"/>
    </row>
    <row r="110" spans="1:40" x14ac:dyDescent="0.25">
      <c r="A110" s="137" t="s">
        <v>104</v>
      </c>
      <c r="B110" s="137" t="s">
        <v>93</v>
      </c>
      <c r="C110" s="137" t="s">
        <v>182</v>
      </c>
      <c r="D110" s="137" t="s">
        <v>118</v>
      </c>
      <c r="E110" s="137" t="s">
        <v>95</v>
      </c>
      <c r="F110" s="137" t="s">
        <v>105</v>
      </c>
      <c r="G110" s="137" t="s">
        <v>186</v>
      </c>
      <c r="H110" s="137" t="s">
        <v>166</v>
      </c>
      <c r="I110" s="137">
        <v>-165000</v>
      </c>
      <c r="J110" s="137"/>
      <c r="K110" s="137">
        <v>-165000</v>
      </c>
      <c r="L110" s="137"/>
      <c r="M110" s="137"/>
      <c r="N110" s="141"/>
      <c r="O110" s="141"/>
      <c r="P110" s="141"/>
      <c r="Q110" s="141"/>
      <c r="S110" s="141"/>
      <c r="AD110" s="9"/>
      <c r="AE110" s="9"/>
      <c r="AF110" s="9"/>
      <c r="AG110" s="9"/>
      <c r="AH110" s="9"/>
      <c r="AI110" s="9"/>
      <c r="AJ110" s="9"/>
      <c r="AK110" s="9"/>
      <c r="AL110" s="9"/>
      <c r="AM110" s="9"/>
      <c r="AN110" s="9"/>
    </row>
    <row r="111" spans="1:40" x14ac:dyDescent="0.25">
      <c r="A111" s="137" t="s">
        <v>104</v>
      </c>
      <c r="B111" s="137" t="s">
        <v>93</v>
      </c>
      <c r="C111" s="137" t="s">
        <v>182</v>
      </c>
      <c r="D111" s="137" t="s">
        <v>118</v>
      </c>
      <c r="E111" s="137" t="s">
        <v>95</v>
      </c>
      <c r="F111" s="137" t="s">
        <v>97</v>
      </c>
      <c r="G111" s="137" t="s">
        <v>183</v>
      </c>
      <c r="H111" s="137" t="s">
        <v>184</v>
      </c>
      <c r="I111" s="137">
        <v>-295160</v>
      </c>
      <c r="J111" s="137"/>
      <c r="K111" s="137"/>
      <c r="L111" s="137"/>
      <c r="M111" s="137"/>
      <c r="N111" s="141"/>
      <c r="O111" s="141">
        <v>-295160</v>
      </c>
      <c r="P111" s="141"/>
      <c r="Q111" s="141"/>
      <c r="S111" s="141"/>
      <c r="AD111" s="9"/>
      <c r="AE111" s="9"/>
      <c r="AF111" s="9"/>
      <c r="AG111" s="9"/>
      <c r="AH111" s="9"/>
      <c r="AI111" s="9"/>
      <c r="AJ111" s="9"/>
      <c r="AK111" s="9"/>
      <c r="AL111" s="9"/>
      <c r="AM111" s="9"/>
      <c r="AN111" s="9"/>
    </row>
    <row r="112" spans="1:40" x14ac:dyDescent="0.25">
      <c r="A112" s="137" t="s">
        <v>104</v>
      </c>
      <c r="B112" s="137" t="s">
        <v>167</v>
      </c>
      <c r="C112" s="137" t="s">
        <v>170</v>
      </c>
      <c r="D112" s="137" t="s">
        <v>118</v>
      </c>
      <c r="E112" s="137" t="s">
        <v>95</v>
      </c>
      <c r="F112" s="137" t="s">
        <v>171</v>
      </c>
      <c r="G112" s="137" t="s">
        <v>165</v>
      </c>
      <c r="H112" s="137" t="s">
        <v>172</v>
      </c>
      <c r="I112" s="137">
        <v>-198252</v>
      </c>
      <c r="J112" s="137"/>
      <c r="K112" s="137"/>
      <c r="L112" s="137"/>
      <c r="M112" s="137"/>
      <c r="N112" s="141"/>
      <c r="O112" s="141">
        <v>-198252</v>
      </c>
      <c r="P112" s="141"/>
      <c r="Q112" s="141"/>
      <c r="S112" s="141"/>
      <c r="AD112" s="9"/>
      <c r="AE112" s="9"/>
      <c r="AF112" s="9"/>
      <c r="AG112" s="9"/>
      <c r="AH112" s="9"/>
      <c r="AI112" s="9"/>
      <c r="AJ112" s="9"/>
      <c r="AK112" s="9"/>
      <c r="AL112" s="9"/>
      <c r="AM112" s="9"/>
      <c r="AN112" s="9"/>
    </row>
    <row r="113" spans="1:40" x14ac:dyDescent="0.25">
      <c r="A113" s="25" t="s">
        <v>104</v>
      </c>
      <c r="B113" s="25" t="s">
        <v>167</v>
      </c>
      <c r="C113" s="25" t="s">
        <v>173</v>
      </c>
      <c r="D113" s="25" t="s">
        <v>118</v>
      </c>
      <c r="E113" s="25" t="s">
        <v>95</v>
      </c>
      <c r="F113" s="25" t="s">
        <v>104</v>
      </c>
      <c r="G113" s="25" t="s">
        <v>174</v>
      </c>
      <c r="H113" s="25" t="s">
        <v>175</v>
      </c>
      <c r="I113" s="25">
        <v>-319592</v>
      </c>
      <c r="N113" s="141"/>
      <c r="O113" s="141">
        <v>-319592</v>
      </c>
      <c r="P113" s="141"/>
      <c r="Q113" s="141"/>
      <c r="S113" s="141"/>
      <c r="AD113" s="9"/>
      <c r="AE113" s="9"/>
      <c r="AF113" s="9"/>
      <c r="AG113" s="9"/>
      <c r="AH113" s="9"/>
      <c r="AI113" s="9"/>
      <c r="AJ113" s="9"/>
      <c r="AK113" s="9"/>
      <c r="AL113" s="9"/>
      <c r="AM113" s="9"/>
      <c r="AN113" s="9"/>
    </row>
    <row r="114" spans="1:40" x14ac:dyDescent="0.25">
      <c r="A114" s="25" t="s">
        <v>104</v>
      </c>
      <c r="B114" s="25" t="s">
        <v>114</v>
      </c>
      <c r="C114" s="25" t="s">
        <v>153</v>
      </c>
      <c r="D114" s="25" t="s">
        <v>151</v>
      </c>
      <c r="E114" s="25" t="s">
        <v>118</v>
      </c>
      <c r="F114" s="25" t="s">
        <v>97</v>
      </c>
      <c r="H114" s="25" t="s">
        <v>187</v>
      </c>
      <c r="I114" s="25">
        <v>289145</v>
      </c>
      <c r="N114" s="141"/>
      <c r="O114" s="141">
        <v>289145</v>
      </c>
      <c r="P114" s="141"/>
      <c r="Q114" s="141"/>
      <c r="S114" s="141"/>
      <c r="AD114" s="9"/>
      <c r="AE114" s="9"/>
      <c r="AF114" s="9"/>
      <c r="AG114" s="9"/>
      <c r="AH114" s="9"/>
      <c r="AI114" s="9"/>
      <c r="AJ114" s="9"/>
      <c r="AK114" s="9"/>
      <c r="AL114" s="9"/>
      <c r="AM114" s="9"/>
      <c r="AN114" s="9"/>
    </row>
    <row r="115" spans="1:40" x14ac:dyDescent="0.25">
      <c r="A115" s="25" t="s">
        <v>105</v>
      </c>
      <c r="B115" s="25" t="s">
        <v>93</v>
      </c>
      <c r="C115" s="25" t="s">
        <v>208</v>
      </c>
      <c r="D115" s="25" t="s">
        <v>118</v>
      </c>
      <c r="E115" s="25" t="s">
        <v>95</v>
      </c>
      <c r="F115" s="25" t="s">
        <v>97</v>
      </c>
      <c r="G115" s="25" t="s">
        <v>209</v>
      </c>
      <c r="H115" s="25" t="s">
        <v>210</v>
      </c>
      <c r="I115" s="25">
        <v>-126293.53</v>
      </c>
      <c r="K115" s="25">
        <v>-126293.53</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94</v>
      </c>
      <c r="C116" s="25" t="s">
        <v>182</v>
      </c>
      <c r="D116" s="25" t="s">
        <v>95</v>
      </c>
      <c r="E116" s="25" t="s">
        <v>118</v>
      </c>
      <c r="F116" s="25" t="s">
        <v>105</v>
      </c>
      <c r="G116" s="25" t="s">
        <v>183</v>
      </c>
      <c r="H116" s="25" t="s">
        <v>184</v>
      </c>
      <c r="I116" s="25">
        <v>252000</v>
      </c>
      <c r="N116" s="141"/>
      <c r="O116" s="141">
        <v>252000</v>
      </c>
      <c r="P116" s="141"/>
      <c r="Q116" s="141"/>
      <c r="S116" s="141"/>
      <c r="AD116" s="9"/>
      <c r="AE116" s="9"/>
      <c r="AF116" s="9"/>
      <c r="AG116" s="9"/>
      <c r="AH116" s="9"/>
      <c r="AI116" s="9"/>
      <c r="AJ116" s="9"/>
      <c r="AK116" s="9"/>
      <c r="AL116" s="9"/>
      <c r="AM116" s="9"/>
      <c r="AN116" s="9"/>
    </row>
    <row r="117" spans="1:40" x14ac:dyDescent="0.25">
      <c r="A117" s="25" t="s">
        <v>105</v>
      </c>
      <c r="B117" s="25" t="s">
        <v>94</v>
      </c>
      <c r="C117" s="25" t="s">
        <v>182</v>
      </c>
      <c r="D117" s="25" t="s">
        <v>95</v>
      </c>
      <c r="E117" s="25" t="s">
        <v>118</v>
      </c>
      <c r="F117" s="25" t="s">
        <v>105</v>
      </c>
      <c r="G117" s="25" t="s">
        <v>185</v>
      </c>
      <c r="H117" s="25" t="s">
        <v>166</v>
      </c>
      <c r="I117" s="25">
        <v>150000</v>
      </c>
      <c r="K117" s="25">
        <v>150000</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94</v>
      </c>
      <c r="C118" s="25" t="s">
        <v>182</v>
      </c>
      <c r="D118" s="25" t="s">
        <v>95</v>
      </c>
      <c r="E118" s="25" t="s">
        <v>118</v>
      </c>
      <c r="F118" s="25" t="s">
        <v>105</v>
      </c>
      <c r="G118" s="25" t="s">
        <v>186</v>
      </c>
      <c r="H118" s="25" t="s">
        <v>166</v>
      </c>
      <c r="I118" s="25">
        <v>165000</v>
      </c>
      <c r="K118" s="25">
        <v>165000</v>
      </c>
      <c r="N118" s="141"/>
      <c r="O118" s="141"/>
      <c r="P118" s="141"/>
      <c r="Q118" s="141"/>
      <c r="S118" s="141"/>
      <c r="AD118" s="9"/>
      <c r="AE118" s="9"/>
      <c r="AF118" s="9"/>
      <c r="AG118" s="9"/>
      <c r="AH118" s="9"/>
      <c r="AI118" s="9"/>
      <c r="AJ118" s="9"/>
      <c r="AK118" s="9"/>
      <c r="AL118" s="9"/>
      <c r="AM118" s="9"/>
      <c r="AN118" s="9"/>
    </row>
    <row r="119" spans="1:40" x14ac:dyDescent="0.25">
      <c r="A119" s="25" t="s">
        <v>105</v>
      </c>
      <c r="B119" s="25" t="s">
        <v>167</v>
      </c>
      <c r="C119" s="25" t="s">
        <v>155</v>
      </c>
      <c r="D119" s="25" t="s">
        <v>118</v>
      </c>
      <c r="E119" s="25" t="s">
        <v>116</v>
      </c>
      <c r="F119" s="25" t="s">
        <v>105</v>
      </c>
      <c r="H119" s="25" t="s">
        <v>156</v>
      </c>
      <c r="I119" s="25">
        <v>-162000</v>
      </c>
      <c r="K119" s="25">
        <v>-162000</v>
      </c>
      <c r="N119" s="141"/>
      <c r="O119" s="141"/>
      <c r="P119" s="141"/>
      <c r="Q119" s="141"/>
      <c r="S119" s="141"/>
      <c r="AD119" s="9"/>
      <c r="AE119" s="9"/>
      <c r="AF119" s="9"/>
      <c r="AG119" s="9"/>
      <c r="AH119" s="9"/>
      <c r="AI119" s="9"/>
      <c r="AJ119" s="9"/>
      <c r="AK119" s="9"/>
      <c r="AL119" s="9"/>
      <c r="AM119" s="9"/>
      <c r="AN119" s="9"/>
    </row>
    <row r="120" spans="1:40" x14ac:dyDescent="0.25">
      <c r="A120" s="25" t="s">
        <v>105</v>
      </c>
      <c r="B120" s="25" t="s">
        <v>167</v>
      </c>
      <c r="C120" s="25" t="s">
        <v>157</v>
      </c>
      <c r="D120" s="25" t="s">
        <v>118</v>
      </c>
      <c r="E120" s="25" t="s">
        <v>151</v>
      </c>
      <c r="F120" s="25" t="s">
        <v>105</v>
      </c>
      <c r="H120" s="25" t="s">
        <v>158</v>
      </c>
      <c r="I120" s="25">
        <v>-156743</v>
      </c>
      <c r="K120" s="25">
        <v>-156743</v>
      </c>
      <c r="N120" s="141"/>
      <c r="O120" s="141"/>
      <c r="P120" s="141"/>
      <c r="Q120" s="141"/>
      <c r="S120" s="141"/>
      <c r="AD120" s="9"/>
      <c r="AE120" s="9"/>
      <c r="AF120" s="9"/>
      <c r="AG120" s="9"/>
      <c r="AH120" s="9"/>
      <c r="AI120" s="9"/>
      <c r="AJ120" s="9"/>
      <c r="AK120" s="9"/>
      <c r="AL120" s="9"/>
      <c r="AM120" s="9"/>
      <c r="AN120" s="9"/>
    </row>
    <row r="121" spans="1:40" x14ac:dyDescent="0.25">
      <c r="A121" s="25" t="s">
        <v>105</v>
      </c>
      <c r="B121" s="25" t="s">
        <v>167</v>
      </c>
      <c r="C121" s="25" t="s">
        <v>170</v>
      </c>
      <c r="D121" s="25" t="s">
        <v>118</v>
      </c>
      <c r="E121" s="25" t="s">
        <v>95</v>
      </c>
      <c r="F121" s="25" t="s">
        <v>171</v>
      </c>
      <c r="G121" s="25" t="s">
        <v>165</v>
      </c>
      <c r="H121" s="25" t="s">
        <v>172</v>
      </c>
      <c r="I121" s="25">
        <v>-166541</v>
      </c>
      <c r="K121" s="25">
        <v>-166541</v>
      </c>
      <c r="N121" s="141"/>
      <c r="O121" s="141"/>
      <c r="P121" s="141"/>
      <c r="Q121" s="141"/>
      <c r="S121" s="141"/>
      <c r="AD121" s="9"/>
      <c r="AE121" s="9"/>
      <c r="AF121" s="9"/>
      <c r="AG121" s="9"/>
      <c r="AH121" s="9"/>
      <c r="AI121" s="9"/>
      <c r="AJ121" s="9"/>
      <c r="AK121" s="9"/>
      <c r="AL121" s="9"/>
      <c r="AM121" s="9"/>
      <c r="AN121" s="9"/>
    </row>
    <row r="122" spans="1:40" x14ac:dyDescent="0.25">
      <c r="A122" s="25" t="s">
        <v>105</v>
      </c>
      <c r="B122" s="25" t="s">
        <v>114</v>
      </c>
      <c r="C122" s="25" t="s">
        <v>153</v>
      </c>
      <c r="D122" s="25" t="s">
        <v>151</v>
      </c>
      <c r="E122" s="25" t="s">
        <v>118</v>
      </c>
      <c r="F122" s="25" t="s">
        <v>188</v>
      </c>
      <c r="H122" s="25" t="s">
        <v>189</v>
      </c>
      <c r="I122" s="25">
        <v>289145</v>
      </c>
      <c r="N122" s="141"/>
      <c r="O122" s="141">
        <v>289145</v>
      </c>
      <c r="P122" s="141"/>
      <c r="Q122" s="141"/>
      <c r="S122" s="141"/>
      <c r="AD122" s="9"/>
      <c r="AE122" s="9"/>
      <c r="AF122" s="9"/>
      <c r="AG122" s="9"/>
      <c r="AH122" s="9"/>
      <c r="AI122" s="9"/>
      <c r="AJ122" s="9"/>
      <c r="AK122" s="9"/>
      <c r="AL122" s="9"/>
      <c r="AM122" s="9"/>
      <c r="AN122" s="9"/>
    </row>
    <row r="123" spans="1:40" x14ac:dyDescent="0.25">
      <c r="A123" s="25" t="s">
        <v>97</v>
      </c>
      <c r="B123" s="25" t="s">
        <v>93</v>
      </c>
      <c r="C123" s="25" t="s">
        <v>260</v>
      </c>
      <c r="D123" s="25" t="s">
        <v>118</v>
      </c>
      <c r="E123" s="25" t="s">
        <v>98</v>
      </c>
      <c r="F123" s="25" t="s">
        <v>188</v>
      </c>
      <c r="G123" s="25" t="s">
        <v>261</v>
      </c>
      <c r="H123" s="25" t="s">
        <v>262</v>
      </c>
      <c r="I123" s="25">
        <v>-118377</v>
      </c>
      <c r="N123" s="141">
        <v>-118377</v>
      </c>
      <c r="O123" s="141"/>
      <c r="P123" s="141"/>
      <c r="Q123" s="141"/>
      <c r="S123" s="141"/>
      <c r="AD123" s="9"/>
      <c r="AE123" s="9"/>
      <c r="AF123" s="9"/>
      <c r="AG123" s="9"/>
      <c r="AH123" s="9"/>
      <c r="AI123" s="9"/>
      <c r="AJ123" s="9"/>
      <c r="AK123" s="9"/>
      <c r="AL123" s="9"/>
      <c r="AM123" s="9"/>
      <c r="AN123" s="9"/>
    </row>
    <row r="124" spans="1:40" x14ac:dyDescent="0.25">
      <c r="A124" s="25" t="s">
        <v>97</v>
      </c>
      <c r="B124" s="25" t="s">
        <v>93</v>
      </c>
      <c r="C124" s="25" t="s">
        <v>263</v>
      </c>
      <c r="D124" s="25" t="s">
        <v>118</v>
      </c>
      <c r="E124" s="25" t="s">
        <v>95</v>
      </c>
      <c r="F124" s="25" t="s">
        <v>188</v>
      </c>
      <c r="G124" s="25" t="s">
        <v>264</v>
      </c>
      <c r="H124" s="25" t="s">
        <v>265</v>
      </c>
      <c r="I124" s="25">
        <v>-207994.35</v>
      </c>
      <c r="K124" s="25">
        <v>-207994.35</v>
      </c>
      <c r="N124" s="141"/>
      <c r="O124" s="141"/>
      <c r="P124" s="141"/>
      <c r="Q124" s="141"/>
      <c r="S124" s="141"/>
      <c r="AD124" s="9"/>
      <c r="AE124" s="9"/>
      <c r="AF124" s="9"/>
      <c r="AG124" s="9"/>
      <c r="AH124" s="9"/>
      <c r="AI124" s="9"/>
      <c r="AJ124" s="9"/>
      <c r="AK124" s="9"/>
      <c r="AL124" s="9"/>
      <c r="AM124" s="9"/>
      <c r="AN124" s="9"/>
    </row>
    <row r="125" spans="1:40" x14ac:dyDescent="0.25">
      <c r="A125" s="25" t="s">
        <v>97</v>
      </c>
      <c r="B125" s="25" t="s">
        <v>94</v>
      </c>
      <c r="C125" s="25" t="s">
        <v>176</v>
      </c>
      <c r="D125" s="25" t="s">
        <v>95</v>
      </c>
      <c r="E125" s="25" t="s">
        <v>118</v>
      </c>
      <c r="F125" s="25" t="s">
        <v>97</v>
      </c>
      <c r="H125" s="25" t="s">
        <v>177</v>
      </c>
      <c r="I125" s="25">
        <v>344098.48</v>
      </c>
      <c r="N125" s="141">
        <v>344098.48</v>
      </c>
      <c r="O125" s="141"/>
      <c r="P125" s="141"/>
      <c r="Q125" s="141"/>
      <c r="S125" s="141"/>
      <c r="AD125" s="9"/>
      <c r="AE125" s="9"/>
      <c r="AF125" s="9"/>
      <c r="AG125" s="9"/>
      <c r="AH125" s="9"/>
      <c r="AI125" s="9"/>
      <c r="AJ125" s="9"/>
      <c r="AK125" s="9"/>
      <c r="AL125" s="9"/>
      <c r="AM125" s="9"/>
      <c r="AN125" s="9"/>
    </row>
    <row r="126" spans="1:40" x14ac:dyDescent="0.25">
      <c r="A126" s="153" t="s">
        <v>97</v>
      </c>
      <c r="B126" s="153" t="s">
        <v>94</v>
      </c>
      <c r="C126" s="153" t="s">
        <v>182</v>
      </c>
      <c r="D126" s="153" t="s">
        <v>95</v>
      </c>
      <c r="E126" s="153" t="s">
        <v>118</v>
      </c>
      <c r="F126" s="153" t="s">
        <v>97</v>
      </c>
      <c r="G126" s="153" t="s">
        <v>183</v>
      </c>
      <c r="H126" s="153" t="s">
        <v>184</v>
      </c>
      <c r="I126" s="153">
        <v>295160</v>
      </c>
      <c r="J126" s="153"/>
      <c r="K126" s="153"/>
      <c r="L126" s="153"/>
      <c r="M126" s="153"/>
      <c r="N126" s="153">
        <v>295160</v>
      </c>
      <c r="O126" s="153"/>
      <c r="P126" s="153"/>
      <c r="Q126" s="153"/>
      <c r="R126" s="153"/>
    </row>
    <row r="127" spans="1:40" x14ac:dyDescent="0.25">
      <c r="A127" s="153" t="s">
        <v>97</v>
      </c>
      <c r="B127" s="153" t="s">
        <v>94</v>
      </c>
      <c r="C127" s="153" t="s">
        <v>208</v>
      </c>
      <c r="D127" s="153" t="s">
        <v>95</v>
      </c>
      <c r="E127" s="153" t="s">
        <v>118</v>
      </c>
      <c r="F127" s="153" t="s">
        <v>97</v>
      </c>
      <c r="G127" s="153" t="s">
        <v>209</v>
      </c>
      <c r="H127" s="153" t="s">
        <v>210</v>
      </c>
      <c r="I127" s="153">
        <v>126293.53</v>
      </c>
      <c r="J127" s="153"/>
      <c r="K127" s="153"/>
      <c r="L127" s="153"/>
      <c r="M127" s="153"/>
      <c r="N127" s="153">
        <v>126293.53</v>
      </c>
      <c r="O127" s="153"/>
      <c r="P127" s="153"/>
      <c r="Q127" s="153"/>
      <c r="R127" s="153"/>
    </row>
    <row r="128" spans="1:40" x14ac:dyDescent="0.25">
      <c r="A128" s="163" t="s">
        <v>97</v>
      </c>
      <c r="B128" s="163" t="s">
        <v>114</v>
      </c>
      <c r="C128" s="163" t="s">
        <v>242</v>
      </c>
      <c r="D128" s="163" t="s">
        <v>95</v>
      </c>
      <c r="E128" s="163" t="s">
        <v>118</v>
      </c>
      <c r="F128" s="163" t="s">
        <v>97</v>
      </c>
      <c r="G128" s="163" t="s">
        <v>235</v>
      </c>
      <c r="H128" s="163" t="s">
        <v>243</v>
      </c>
      <c r="I128" s="163">
        <v>343124</v>
      </c>
      <c r="J128" s="163">
        <v>343124</v>
      </c>
      <c r="K128" s="163"/>
      <c r="L128" s="163"/>
      <c r="M128" s="163"/>
      <c r="N128" s="163"/>
      <c r="O128" s="163"/>
      <c r="P128" s="163"/>
      <c r="Q128" s="163"/>
      <c r="R128" s="163"/>
    </row>
    <row r="129" spans="1:18" x14ac:dyDescent="0.25">
      <c r="A129" s="163" t="s">
        <v>97</v>
      </c>
      <c r="B129" s="163" t="s">
        <v>114</v>
      </c>
      <c r="C129" s="163" t="s">
        <v>153</v>
      </c>
      <c r="D129" s="163" t="s">
        <v>151</v>
      </c>
      <c r="E129" s="163" t="s">
        <v>118</v>
      </c>
      <c r="F129" s="163" t="s">
        <v>188</v>
      </c>
      <c r="G129" s="163"/>
      <c r="H129" s="163" t="s">
        <v>190</v>
      </c>
      <c r="I129" s="163">
        <v>289145</v>
      </c>
      <c r="J129" s="163"/>
      <c r="K129" s="163"/>
      <c r="L129" s="163"/>
      <c r="M129" s="163"/>
      <c r="N129" s="163">
        <v>289145</v>
      </c>
      <c r="O129" s="163"/>
      <c r="P129" s="163"/>
      <c r="Q129" s="163"/>
      <c r="R129" s="163"/>
    </row>
    <row r="130" spans="1:18" x14ac:dyDescent="0.25">
      <c r="A130" s="25" t="s">
        <v>97</v>
      </c>
      <c r="B130" s="25" t="s">
        <v>110</v>
      </c>
      <c r="C130" s="25" t="s">
        <v>242</v>
      </c>
      <c r="D130" s="25" t="s">
        <v>118</v>
      </c>
      <c r="E130" s="25" t="s">
        <v>95</v>
      </c>
      <c r="F130" s="25" t="s">
        <v>97</v>
      </c>
      <c r="G130" s="25" t="s">
        <v>235</v>
      </c>
      <c r="H130" s="25" t="s">
        <v>244</v>
      </c>
      <c r="I130" s="25">
        <v>-381249</v>
      </c>
      <c r="M130" s="25">
        <v>-381249</v>
      </c>
    </row>
    <row r="131" spans="1:18" x14ac:dyDescent="0.25">
      <c r="A131" s="25" t="s">
        <v>188</v>
      </c>
      <c r="B131" s="25" t="s">
        <v>94</v>
      </c>
      <c r="C131" s="25" t="s">
        <v>260</v>
      </c>
      <c r="D131" s="25" t="s">
        <v>98</v>
      </c>
      <c r="E131" s="25" t="s">
        <v>118</v>
      </c>
      <c r="F131" s="25" t="s">
        <v>188</v>
      </c>
      <c r="G131" s="25" t="s">
        <v>261</v>
      </c>
      <c r="H131" s="25" t="s">
        <v>262</v>
      </c>
      <c r="I131" s="25">
        <v>118377</v>
      </c>
      <c r="N131" s="25">
        <v>118377</v>
      </c>
    </row>
    <row r="132" spans="1:18" x14ac:dyDescent="0.25">
      <c r="A132" s="167" t="s">
        <v>188</v>
      </c>
      <c r="B132" s="167" t="s">
        <v>94</v>
      </c>
      <c r="C132" s="167" t="s">
        <v>263</v>
      </c>
      <c r="D132" s="167" t="s">
        <v>95</v>
      </c>
      <c r="E132" s="167" t="s">
        <v>118</v>
      </c>
      <c r="F132" s="167" t="s">
        <v>188</v>
      </c>
      <c r="G132" s="167" t="s">
        <v>264</v>
      </c>
      <c r="H132" s="167" t="s">
        <v>265</v>
      </c>
      <c r="I132" s="167">
        <v>207994.35</v>
      </c>
      <c r="J132" s="167"/>
      <c r="K132" s="167"/>
      <c r="L132" s="167"/>
      <c r="M132" s="167"/>
      <c r="N132" s="167">
        <v>207994.35</v>
      </c>
      <c r="O132" s="167"/>
      <c r="P132" s="167"/>
      <c r="Q132" s="167"/>
      <c r="R132" s="167"/>
    </row>
    <row r="133" spans="1:18" x14ac:dyDescent="0.25">
      <c r="A133" s="167" t="s">
        <v>188</v>
      </c>
      <c r="B133" s="167" t="s">
        <v>114</v>
      </c>
      <c r="C133" s="167" t="s">
        <v>153</v>
      </c>
      <c r="D133" s="167" t="s">
        <v>151</v>
      </c>
      <c r="E133" s="167" t="s">
        <v>118</v>
      </c>
      <c r="F133" s="167" t="s">
        <v>188</v>
      </c>
      <c r="G133" s="167"/>
      <c r="H133" s="167" t="s">
        <v>191</v>
      </c>
      <c r="I133" s="167">
        <v>289145</v>
      </c>
      <c r="J133" s="167"/>
      <c r="K133" s="167"/>
      <c r="L133" s="167"/>
      <c r="M133" s="167"/>
      <c r="N133" s="167">
        <v>289145</v>
      </c>
      <c r="O133" s="167"/>
      <c r="P133" s="167"/>
      <c r="Q133" s="167"/>
      <c r="R133" s="167"/>
    </row>
  </sheetData>
  <mergeCells count="5">
    <mergeCell ref="A1:F1"/>
    <mergeCell ref="A3:F3"/>
    <mergeCell ref="A9:G9"/>
    <mergeCell ref="A71:G7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9" t="s">
        <v>14</v>
      </c>
      <c r="C1" s="199"/>
      <c r="D1" s="199"/>
      <c r="E1" s="199"/>
    </row>
    <row r="2" spans="1:5" ht="81.75" customHeight="1" x14ac:dyDescent="0.35">
      <c r="A2" s="1">
        <v>1</v>
      </c>
      <c r="B2" s="192" t="s">
        <v>16</v>
      </c>
      <c r="C2" s="192"/>
      <c r="D2" s="192"/>
      <c r="E2" s="192"/>
    </row>
    <row r="3" spans="1:5" ht="14.45" x14ac:dyDescent="0.35">
      <c r="B3" s="3"/>
      <c r="C3" s="3"/>
      <c r="D3" s="3"/>
      <c r="E3" s="3"/>
    </row>
    <row r="4" spans="1:5" ht="33" customHeight="1" x14ac:dyDescent="0.35">
      <c r="A4" s="1">
        <v>2</v>
      </c>
      <c r="B4" s="192" t="s">
        <v>17</v>
      </c>
      <c r="C4" s="192"/>
      <c r="D4" s="192"/>
      <c r="E4" s="192"/>
    </row>
    <row r="5" spans="1:5" ht="14.45" x14ac:dyDescent="0.35">
      <c r="B5" s="3"/>
      <c r="C5" s="3"/>
      <c r="D5" s="3"/>
      <c r="E5" s="3"/>
    </row>
    <row r="6" spans="1:5" s="17" customFormat="1" ht="114" customHeight="1" x14ac:dyDescent="0.25">
      <c r="A6" s="18">
        <v>3</v>
      </c>
      <c r="B6" s="193" t="s">
        <v>219</v>
      </c>
      <c r="C6" s="193"/>
      <c r="D6" s="193"/>
      <c r="E6" s="193"/>
    </row>
    <row r="7" spans="1:5" s="17" customFormat="1" ht="14.45" x14ac:dyDescent="0.35">
      <c r="A7" s="18"/>
      <c r="B7" s="19"/>
      <c r="C7" s="19"/>
      <c r="D7" s="19"/>
      <c r="E7" s="19"/>
    </row>
    <row r="8" spans="1:5" ht="18" customHeight="1" x14ac:dyDescent="0.3">
      <c r="A8" s="1">
        <v>4</v>
      </c>
      <c r="B8" s="196" t="s">
        <v>56</v>
      </c>
      <c r="C8" s="196"/>
      <c r="D8" s="8"/>
      <c r="E8" s="8"/>
    </row>
    <row r="9" spans="1:5" ht="18" customHeight="1" x14ac:dyDescent="0.25">
      <c r="B9" s="201" t="s">
        <v>214</v>
      </c>
      <c r="C9" s="201"/>
      <c r="D9" s="13">
        <v>175000</v>
      </c>
    </row>
    <row r="10" spans="1:5" ht="18" customHeight="1" x14ac:dyDescent="0.25">
      <c r="B10" s="192" t="s">
        <v>217</v>
      </c>
      <c r="C10" s="192"/>
      <c r="D10" s="12">
        <v>-43750</v>
      </c>
    </row>
    <row r="11" spans="1:5" ht="18" customHeight="1" x14ac:dyDescent="0.25">
      <c r="B11" s="201" t="s">
        <v>218</v>
      </c>
      <c r="C11" s="201"/>
      <c r="D11" s="14">
        <f>+D9+D10</f>
        <v>131250</v>
      </c>
    </row>
    <row r="12" spans="1:5" ht="31.5" customHeight="1" x14ac:dyDescent="0.25">
      <c r="B12" s="192" t="s">
        <v>215</v>
      </c>
      <c r="C12" s="192"/>
      <c r="D12" s="11">
        <v>31250</v>
      </c>
    </row>
    <row r="13" spans="1:5" ht="36.75" customHeight="1" x14ac:dyDescent="0.25">
      <c r="B13" s="201" t="s">
        <v>216</v>
      </c>
      <c r="C13" s="201"/>
      <c r="D13" s="15">
        <f>SUM(D11:D12)</f>
        <v>162500</v>
      </c>
    </row>
    <row r="14" spans="1:5" s="17" customFormat="1" ht="18" customHeight="1" x14ac:dyDescent="0.25">
      <c r="A14" s="18"/>
      <c r="B14" s="22"/>
      <c r="C14" s="22"/>
      <c r="D14" s="23"/>
    </row>
    <row r="15" spans="1:5" s="17" customFormat="1" ht="84.75" customHeight="1" x14ac:dyDescent="0.25">
      <c r="A15" s="1">
        <v>5</v>
      </c>
      <c r="B15" s="200" t="s">
        <v>57</v>
      </c>
      <c r="C15" s="200"/>
      <c r="D15" s="200"/>
      <c r="E15" s="200"/>
    </row>
    <row r="16" spans="1:5" x14ac:dyDescent="0.25">
      <c r="B16" s="3"/>
      <c r="C16" s="3"/>
      <c r="D16" s="3"/>
      <c r="E16" s="3"/>
    </row>
    <row r="17" spans="1:5" ht="14.45" customHeight="1" x14ac:dyDescent="0.25">
      <c r="A17" s="1">
        <v>6</v>
      </c>
      <c r="B17" s="192" t="s">
        <v>221</v>
      </c>
      <c r="C17" s="192"/>
      <c r="D17" s="192"/>
      <c r="E17" s="192"/>
    </row>
    <row r="18" spans="1:5" x14ac:dyDescent="0.25">
      <c r="B18" s="10"/>
      <c r="C18" s="10"/>
      <c r="D18" s="10"/>
      <c r="E18" s="10"/>
    </row>
    <row r="19" spans="1:5" ht="33" customHeight="1" x14ac:dyDescent="0.25">
      <c r="A19" s="1">
        <v>7</v>
      </c>
      <c r="B19" s="192" t="s">
        <v>37</v>
      </c>
      <c r="C19" s="192"/>
      <c r="D19" s="192"/>
      <c r="E19" s="192"/>
    </row>
    <row r="20" spans="1:5" ht="14.25" customHeight="1" x14ac:dyDescent="0.25">
      <c r="B20" s="7"/>
      <c r="C20" s="7"/>
      <c r="D20" s="7"/>
      <c r="E20" s="7"/>
    </row>
    <row r="21" spans="1:5" ht="47.25" customHeight="1" x14ac:dyDescent="0.25">
      <c r="A21" s="1">
        <v>8</v>
      </c>
      <c r="B21" s="192" t="s">
        <v>38</v>
      </c>
      <c r="C21" s="192"/>
      <c r="D21" s="192"/>
      <c r="E21" s="192"/>
    </row>
    <row r="22" spans="1:5" ht="15" customHeight="1" x14ac:dyDescent="0.25">
      <c r="B22" s="7"/>
      <c r="C22" s="7"/>
      <c r="D22" s="7"/>
      <c r="E22" s="7"/>
    </row>
    <row r="23" spans="1:5" ht="32.25" customHeight="1" x14ac:dyDescent="0.25">
      <c r="A23" s="1">
        <v>9</v>
      </c>
      <c r="B23" s="192" t="s">
        <v>36</v>
      </c>
      <c r="C23" s="192"/>
      <c r="D23" s="192"/>
      <c r="E23" s="192"/>
    </row>
    <row r="24" spans="1:5" ht="15" customHeight="1" x14ac:dyDescent="0.25">
      <c r="B24" s="7"/>
      <c r="C24" s="7"/>
      <c r="D24" s="7"/>
      <c r="E24" s="7"/>
    </row>
    <row r="25" spans="1:5" ht="33" customHeight="1" x14ac:dyDescent="0.25">
      <c r="A25" s="1">
        <v>10</v>
      </c>
      <c r="B25" s="192" t="s">
        <v>39</v>
      </c>
      <c r="C25" s="192"/>
      <c r="D25" s="192"/>
      <c r="E25" s="192"/>
    </row>
    <row r="26" spans="1:5" x14ac:dyDescent="0.25">
      <c r="B26" s="3"/>
      <c r="C26" s="3"/>
      <c r="D26" s="3"/>
      <c r="E26" s="3"/>
    </row>
    <row r="27" spans="1:5" ht="30" customHeight="1" x14ac:dyDescent="0.25">
      <c r="A27" s="1">
        <v>11</v>
      </c>
      <c r="B27" s="192" t="s">
        <v>40</v>
      </c>
      <c r="C27" s="192"/>
      <c r="D27" s="192"/>
      <c r="E27" s="192"/>
    </row>
    <row r="28" spans="1:5" x14ac:dyDescent="0.25">
      <c r="B28" s="3"/>
      <c r="C28" s="3"/>
      <c r="D28" s="3"/>
      <c r="E28" s="3"/>
    </row>
    <row r="29" spans="1:5" ht="31.5" customHeight="1" x14ac:dyDescent="0.25">
      <c r="A29" s="1">
        <v>12</v>
      </c>
      <c r="B29" s="192" t="s">
        <v>41</v>
      </c>
      <c r="C29" s="192"/>
      <c r="D29" s="192"/>
      <c r="E29" s="192"/>
    </row>
    <row r="30" spans="1:5" x14ac:dyDescent="0.25">
      <c r="B30" s="7"/>
      <c r="C30" s="7"/>
      <c r="D30" s="7"/>
      <c r="E30" s="7"/>
    </row>
    <row r="31" spans="1:5" ht="34.5" customHeight="1" x14ac:dyDescent="0.25">
      <c r="A31" s="1">
        <v>13</v>
      </c>
      <c r="B31" s="192" t="s">
        <v>18</v>
      </c>
      <c r="C31" s="192"/>
      <c r="D31" s="192"/>
      <c r="E31" s="192"/>
    </row>
    <row r="32" spans="1:5" ht="16.5" customHeight="1" x14ac:dyDescent="0.25">
      <c r="B32" s="3"/>
      <c r="C32" s="3"/>
      <c r="D32" s="3"/>
      <c r="E32" s="3"/>
    </row>
    <row r="33" spans="1:5" ht="64.5" customHeight="1" x14ac:dyDescent="0.25">
      <c r="A33" s="1">
        <v>14</v>
      </c>
      <c r="B33" s="192" t="s">
        <v>19</v>
      </c>
      <c r="C33" s="192"/>
      <c r="D33" s="192"/>
      <c r="E33" s="192"/>
    </row>
    <row r="34" spans="1:5" ht="14.25" customHeight="1" x14ac:dyDescent="0.25">
      <c r="B34" s="3"/>
      <c r="C34" s="3"/>
      <c r="D34" s="3"/>
      <c r="E34" s="3"/>
    </row>
    <row r="35" spans="1:5" x14ac:dyDescent="0.25">
      <c r="A35" s="1">
        <v>15</v>
      </c>
      <c r="B35" s="196" t="s">
        <v>33</v>
      </c>
      <c r="C35" s="196"/>
      <c r="D35" s="196"/>
      <c r="E35" s="196"/>
    </row>
    <row r="36" spans="1:5" x14ac:dyDescent="0.25">
      <c r="B36" s="16" t="s">
        <v>7</v>
      </c>
      <c r="C36" s="197" t="s">
        <v>20</v>
      </c>
      <c r="D36" s="197"/>
      <c r="E36" s="197"/>
    </row>
    <row r="37" spans="1:5" x14ac:dyDescent="0.25">
      <c r="B37" s="5" t="s">
        <v>21</v>
      </c>
      <c r="C37" s="198" t="s">
        <v>28</v>
      </c>
      <c r="D37" s="198"/>
      <c r="E37" s="198"/>
    </row>
    <row r="38" spans="1:5" x14ac:dyDescent="0.25">
      <c r="B38" s="16" t="s">
        <v>22</v>
      </c>
      <c r="C38" s="197" t="s">
        <v>29</v>
      </c>
      <c r="D38" s="197"/>
      <c r="E38" s="197"/>
    </row>
    <row r="39" spans="1:5" x14ac:dyDescent="0.25">
      <c r="B39" s="5" t="s">
        <v>23</v>
      </c>
      <c r="C39" s="198" t="s">
        <v>32</v>
      </c>
      <c r="D39" s="198"/>
      <c r="E39" s="198"/>
    </row>
    <row r="40" spans="1:5" x14ac:dyDescent="0.25">
      <c r="B40" s="16" t="s">
        <v>9</v>
      </c>
      <c r="C40" s="197" t="s">
        <v>30</v>
      </c>
      <c r="D40" s="197"/>
      <c r="E40" s="197"/>
    </row>
    <row r="41" spans="1:5" x14ac:dyDescent="0.25">
      <c r="B41" s="5" t="s">
        <v>8</v>
      </c>
      <c r="C41" s="198" t="s">
        <v>24</v>
      </c>
      <c r="D41" s="198"/>
      <c r="E41" s="198"/>
    </row>
    <row r="42" spans="1:5" x14ac:dyDescent="0.25">
      <c r="B42" s="16" t="s">
        <v>25</v>
      </c>
      <c r="C42" s="197" t="s">
        <v>26</v>
      </c>
      <c r="D42" s="197"/>
      <c r="E42" s="197"/>
    </row>
    <row r="43" spans="1:5" x14ac:dyDescent="0.25">
      <c r="B43" s="5" t="s">
        <v>27</v>
      </c>
      <c r="C43" s="198" t="s">
        <v>31</v>
      </c>
      <c r="D43" s="198"/>
      <c r="E43" s="198"/>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97" t="s">
        <v>65</v>
      </c>
      <c r="D46" s="197"/>
      <c r="E46" s="197"/>
    </row>
    <row r="47" spans="1:5" s="17" customFormat="1" x14ac:dyDescent="0.25">
      <c r="A47" s="18"/>
      <c r="B47" s="20" t="s">
        <v>49</v>
      </c>
      <c r="C47" s="198" t="s">
        <v>64</v>
      </c>
      <c r="D47" s="198"/>
      <c r="E47" s="198"/>
    </row>
    <row r="48" spans="1:5" s="17" customFormat="1" ht="48.75" customHeight="1" x14ac:dyDescent="0.25">
      <c r="A48" s="18"/>
      <c r="B48" s="16" t="s">
        <v>50</v>
      </c>
      <c r="C48" s="197" t="s">
        <v>67</v>
      </c>
      <c r="D48" s="197"/>
      <c r="E48" s="197"/>
    </row>
    <row r="49" spans="1:5" s="17" customFormat="1" ht="29.25" customHeight="1" x14ac:dyDescent="0.25">
      <c r="A49" s="18"/>
      <c r="B49" s="20" t="s">
        <v>51</v>
      </c>
      <c r="C49" s="198" t="s">
        <v>66</v>
      </c>
      <c r="D49" s="198"/>
      <c r="E49" s="198"/>
    </row>
    <row r="50" spans="1:5" x14ac:dyDescent="0.25">
      <c r="B50" s="5"/>
      <c r="C50" s="6"/>
      <c r="D50" s="6"/>
      <c r="E50" s="6"/>
    </row>
    <row r="51" spans="1:5" ht="94.5" customHeight="1" x14ac:dyDescent="0.25">
      <c r="A51" s="1">
        <v>17</v>
      </c>
      <c r="B51" s="195" t="s">
        <v>220</v>
      </c>
      <c r="C51" s="195"/>
      <c r="D51" s="195"/>
      <c r="E51" s="195"/>
    </row>
    <row r="53" spans="1:5" x14ac:dyDescent="0.25">
      <c r="B53" s="2"/>
    </row>
    <row r="54" spans="1:5" x14ac:dyDescent="0.25">
      <c r="A54" s="194" t="s">
        <v>34</v>
      </c>
      <c r="B54" s="194"/>
      <c r="C54" s="194"/>
      <c r="D54" s="194"/>
      <c r="E54" s="19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2019-08-06T18:50:28Z</dcterms:modified>
</cp:coreProperties>
</file>