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queryTables/queryTable1.xml" ContentType="application/vnd.openxmlformats-officedocument.spreadsheetml.queryTable+xml"/>
  <Override PartName="/xl/tables/table3.xml" ContentType="application/vnd.openxmlformats-officedocument.spreadsheetml.table+xml"/>
  <Override PartName="/xl/queryTables/queryTable2.xml" ContentType="application/vnd.openxmlformats-officedocument.spreadsheetml.queryTable+xml"/>
  <Override PartName="/xl/tables/table4.xml" ContentType="application/vnd.openxmlformats-officedocument.spreadsheetml.table+xml"/>
  <Override PartName="/xl/queryTables/queryTable3.xml" ContentType="application/vnd.openxmlformats-officedocument.spreadsheetml.queryTable+xml"/>
  <Override PartName="/xl/tables/table5.xml" ContentType="application/vnd.openxmlformats-officedocument.spreadsheetml.table+xml"/>
  <Override PartName="/xl/queryTables/queryTable4.xml" ContentType="application/vnd.openxmlformats-officedocument.spreadsheetml.query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codeName="ThisWorkbook"/>
  <bookViews>
    <workbookView xWindow="0" yWindow="0" windowWidth="19200" windowHeight="7875"/>
  </bookViews>
  <sheets>
    <sheet name="Federal Funds Transactions" sheetId="1" r:id="rId1"/>
    <sheet name="Regional Loans and Transfers" sheetId="3" r:id="rId2"/>
    <sheet name="Notes" sheetId="2" r:id="rId3"/>
  </sheets>
  <definedNames>
    <definedName name="CAG_ApportLoans_qry" localSheetId="1">'Regional Loans and Transfers'!#REF!</definedName>
    <definedName name="CAG_ApportTransfers_qry_1" localSheetId="1">'Regional Loans and Transfers'!#REF!</definedName>
    <definedName name="CAG_Ledger_Authorized" localSheetId="0" hidden="1">'Federal Funds Transactions'!#REF!</definedName>
    <definedName name="CAG_Ledger_Authorized.qry_1" localSheetId="0" hidden="1">'Federal Funds Transactions'!#REF!</definedName>
    <definedName name="CAG_Ledger_Not_Authorized" localSheetId="0" hidden="1">'Federal Funds Transactions'!#REF!</definedName>
    <definedName name="CAG_Ledger_NotAuthorized.qry" localSheetId="0" hidden="1">'Federal Funds Transactions'!#REF!</definedName>
    <definedName name="CAG_OALoans_qry" localSheetId="1">'Regional Loans and Transfers'!#REF!</definedName>
    <definedName name="CAG_OATransfers_qry" localSheetId="1">'Regional Loans and Transfers'!#REF!</definedName>
    <definedName name="_xlnm.Print_Area" localSheetId="0">'Federal Funds Transactions'!$A$1:$T$45</definedName>
    <definedName name="Query_from_MS_Access_Database" localSheetId="0" hidden="1">'Federal Funds Transactions'!$A$15:$T$23</definedName>
    <definedName name="Query_from_MS_Access_Database" localSheetId="1" hidden="1">'Regional Loans and Transfers'!$A$11:$U$50</definedName>
    <definedName name="Query_from_MS_Access_Database_1" localSheetId="0" hidden="1">'Federal Funds Transactions'!$A$28:$T$33</definedName>
    <definedName name="Query_from_MS_Access_Database_1" localSheetId="1" hidden="1">'Regional Loans and Transfers'!$A$53:$U$91</definedName>
    <definedName name="WACOGLedgerAuthorized" localSheetId="0" hidden="1">'Federal Funds Transactions'!#REF!</definedName>
    <definedName name="WACOGqryLedgerApports" localSheetId="1" hidden="1">'Regional Loans and Transfers'!#REF!</definedName>
    <definedName name="WACOGqryLedgerOA" localSheetId="1" hidden="1">'Regional Loans and Transfers'!#REF!</definedName>
  </definedNames>
  <calcPr calcId="145621"/>
</workbook>
</file>

<file path=xl/calcChain.xml><?xml version="1.0" encoding="utf-8"?>
<calcChain xmlns="http://schemas.openxmlformats.org/spreadsheetml/2006/main">
  <c r="V31" i="1" l="1"/>
  <c r="V32" i="1"/>
  <c r="V21" i="1"/>
  <c r="V18" i="1"/>
  <c r="I16" i="1"/>
  <c r="I17" i="1"/>
  <c r="I18" i="1"/>
  <c r="I19" i="1"/>
  <c r="I20" i="1"/>
  <c r="I21" i="1"/>
  <c r="I22" i="1"/>
  <c r="I23" i="1"/>
  <c r="U16" i="1"/>
  <c r="V16" i="1" s="1"/>
  <c r="U17" i="1"/>
  <c r="U18" i="1"/>
  <c r="U19" i="1"/>
  <c r="U20" i="1"/>
  <c r="V20" i="1" s="1"/>
  <c r="U21" i="1"/>
  <c r="U22" i="1"/>
  <c r="V22" i="1" s="1"/>
  <c r="U23" i="1"/>
  <c r="V23" i="1" s="1"/>
  <c r="I29" i="1"/>
  <c r="I30" i="1"/>
  <c r="I31" i="1"/>
  <c r="I32" i="1"/>
  <c r="I33" i="1"/>
  <c r="U29" i="1"/>
  <c r="V29" i="1" s="1"/>
  <c r="V30" i="1" s="1"/>
  <c r="U30" i="1"/>
  <c r="U31" i="1"/>
  <c r="U32" i="1"/>
  <c r="U33" i="1"/>
  <c r="V33" i="1" s="1"/>
  <c r="V19" i="1" l="1"/>
  <c r="V17" i="1"/>
  <c r="V11" i="1"/>
  <c r="T11" i="1"/>
  <c r="S11" i="1"/>
  <c r="R11" i="1"/>
  <c r="Q11" i="1"/>
  <c r="P11" i="1"/>
  <c r="O11" i="1"/>
  <c r="N11" i="1"/>
  <c r="V10" i="1"/>
  <c r="T10" i="1"/>
  <c r="S10" i="1"/>
  <c r="R10" i="1"/>
  <c r="Q10" i="1"/>
  <c r="P10" i="1"/>
  <c r="O10" i="1"/>
  <c r="N10" i="1"/>
  <c r="V9" i="1"/>
  <c r="T9" i="1"/>
  <c r="S9" i="1"/>
  <c r="R9" i="1"/>
  <c r="Q9" i="1"/>
  <c r="P9" i="1"/>
  <c r="O9" i="1"/>
  <c r="N9" i="1"/>
  <c r="V8" i="1"/>
  <c r="T8" i="1"/>
  <c r="S8" i="1"/>
  <c r="R8" i="1"/>
  <c r="Q8" i="1"/>
  <c r="P8" i="1"/>
  <c r="O8" i="1"/>
  <c r="N8" i="1"/>
  <c r="V7" i="1"/>
  <c r="T7" i="1"/>
  <c r="S7" i="1"/>
  <c r="R7" i="1"/>
  <c r="Q7" i="1"/>
  <c r="P7" i="1"/>
  <c r="O7" i="1"/>
  <c r="N7" i="1"/>
  <c r="V6" i="1"/>
  <c r="T6" i="1"/>
  <c r="S6" i="1"/>
  <c r="R6" i="1"/>
  <c r="Q6" i="1"/>
  <c r="P6" i="1"/>
  <c r="O6" i="1"/>
  <c r="N6" i="1"/>
  <c r="N36" i="1" l="1"/>
  <c r="U4" i="1"/>
  <c r="O43" i="1" l="1"/>
  <c r="P43" i="1"/>
  <c r="Q43" i="1"/>
  <c r="R43" i="1"/>
  <c r="S43" i="1"/>
  <c r="T43" i="1"/>
  <c r="O36" i="1"/>
  <c r="P36" i="1"/>
  <c r="Q36" i="1"/>
  <c r="R36" i="1"/>
  <c r="S36" i="1"/>
  <c r="T36" i="1"/>
  <c r="U36" i="1"/>
  <c r="U5" i="1"/>
  <c r="O24" i="1"/>
  <c r="N24" i="1"/>
  <c r="N38" i="1" s="1"/>
  <c r="P24" i="1"/>
  <c r="Q24" i="1"/>
  <c r="R24" i="1"/>
  <c r="S24" i="1"/>
  <c r="T24" i="1"/>
  <c r="R38" i="1" l="1"/>
  <c r="Q38" i="1"/>
  <c r="T38" i="1"/>
  <c r="P38" i="1"/>
  <c r="S38" i="1"/>
  <c r="O38" i="1"/>
  <c r="N12" i="1"/>
  <c r="N25" i="1" s="1"/>
  <c r="U9" i="1"/>
  <c r="U7" i="1"/>
  <c r="U6" i="1"/>
  <c r="U10" i="1"/>
  <c r="U11" i="1"/>
  <c r="U8" i="1"/>
  <c r="U24" i="1"/>
  <c r="U38" i="1" s="1"/>
  <c r="S12" i="1" l="1"/>
  <c r="S25" i="1" s="1"/>
  <c r="R12" i="1"/>
  <c r="R25" i="1" s="1"/>
  <c r="V43" i="1" l="1"/>
  <c r="N43" i="1"/>
  <c r="V5" i="1" l="1"/>
  <c r="D11" i="2" l="1"/>
  <c r="D13" i="2" s="1"/>
  <c r="U43" i="1" l="1"/>
  <c r="B5" i="3"/>
  <c r="R37" i="1" l="1"/>
  <c r="R42" i="1" s="1"/>
  <c r="R45" i="1" l="1"/>
  <c r="R44" i="1"/>
  <c r="P12" i="1"/>
  <c r="P25" i="1" l="1"/>
  <c r="A7" i="3"/>
  <c r="Q12" i="1" l="1"/>
  <c r="P37" i="1" l="1"/>
  <c r="P42" i="1" s="1"/>
  <c r="Q25" i="1"/>
  <c r="Q37" i="1" s="1"/>
  <c r="Q42" i="1" s="1"/>
  <c r="Q45" i="1" l="1"/>
  <c r="Q44" i="1"/>
  <c r="P45" i="1"/>
  <c r="P44" i="1"/>
  <c r="A1" i="3"/>
  <c r="O12" i="1" l="1"/>
  <c r="O25" i="1" l="1"/>
  <c r="O37" i="1" s="1"/>
  <c r="O42" i="1" s="1"/>
  <c r="T12" i="1"/>
  <c r="U12" i="1" s="1"/>
  <c r="U25" i="1" s="1"/>
  <c r="U37" i="1" s="1"/>
  <c r="O45" i="1" l="1"/>
  <c r="O44" i="1"/>
  <c r="S37" i="1"/>
  <c r="S42" i="1" s="1"/>
  <c r="T25" i="1"/>
  <c r="T37" i="1" s="1"/>
  <c r="T42" i="1" s="1"/>
  <c r="N37" i="1"/>
  <c r="N42" i="1" s="1"/>
  <c r="V12" i="1"/>
  <c r="T45" i="1" l="1"/>
  <c r="T44" i="1"/>
  <c r="S45" i="1"/>
  <c r="S44" i="1"/>
  <c r="N44" i="1"/>
  <c r="U42" i="1"/>
  <c r="N45" i="1"/>
  <c r="V42" i="1" l="1"/>
  <c r="U44" i="1"/>
  <c r="V44" i="1" l="1"/>
</calcChain>
</file>

<file path=xl/connections.xml><?xml version="1.0" encoding="utf-8"?>
<connections xmlns="http://schemas.openxmlformats.org/spreadsheetml/2006/main">
  <connection id="1" name="Query from MS Access Database" type="1" refreshedVersion="4" background="1" saveData="1">
    <dbPr connection="DSN=MS Access Database;DBQ=G:\FMS\RESOURCE\ACCESS\010614 PBPF\011614 PBPF front.accdb;DefaultDir=G:\FMS\RESOURCE\ACCESS\010614 PBPF;DriverId=25;FIL=MS Access;MaxBufferSize=2048;PageTimeout=5;" command="SELECT `10-SUNMPO LEDGER`.`ADOT#`, `10-SUNMPO LEDGER`.`TIP#`, `10-SUNMPO LEDGER`.Sponsor, `10-SUNMPO LEDGER`.`Action/15`, `10-SUNMPO LEDGER`.Location, `10-SUNMPO LEDGER`.RTE, `10-SUNMPO LEDGER`.SEC, `10-SUNMPO LEDGER`.SEQ, `10-SUNMPO LEDGER`.`PB Expected`, `10-SUNMPO LEDGER`.`PB Received`, `10-SUNMPO LEDGER`.`PF Transmitted`, `10-SUNMPO LEDGER`.`Finance Authorization`, `10-SUNMPO LEDGER`.`HURF exchange` as `HURF EX`, `10-SUNMPO LEDGER`.HSIP, `10-SUNMPO LEDGER`.PL, `10-SUNMPO LEDGER`.SPR, `10-SUNMPO LEDGER`.`STP &lt;5`, `10-SUNMPO LEDGER`.`STP 5-200`, `10-SUNMPO LEDGER`.`STP OTHER`_x000d__x000a_FROM `G:\FMS\RESOURCE\ACCESS\010614 PBPF\011614 PBPF front.accdb`.`10-SUNMPO LEDGER` `10-SUNMPO LEDGER`_x000d__x000a_WHERE (`10-SUNMPO LEDGER`.`ADOT#`&lt;&gt;'Trick') AND (`10-SUNMPO LEDGER`.`Finance Authorization`&gt;=#10/1/2018# AND `10-SUNMPO LEDGER`.`Finance Authorization`&lt;=#9/30/2019#)_x000d__x000a_ORDER BY `10-SUNMPO LEDGER`.`Finance Authorization`"/>
  </connection>
  <connection id="2" name="Query from MS Access Database1" type="1" refreshedVersion="4" background="1" saveData="1">
    <dbPr connection="DSN=MS Access Database;DBQ=G:\FMS\RESOURCE\ACCESS\010614 PBPF\011614 PBPF front.accdb;DefaultDir=G:\FMS\RESOURCE\ACCESS\010614 PBPF;DriverId=25;FIL=MS Access;MaxBufferSize=2048;PageTimeout=5;" command="SELECT `10-SUNqryLedgerApportsCrosstab`.`Transaction Year`, `10-SUNqryLedgerApportsCrosstab`.`Transaction Type`, `10-SUNqryLedgerApportsCrosstab`.Number, `10-SUNqryLedgerApportsCrosstab`.`From`, `10-SUNqryLedgerApportsCrosstab`.To, `10-SUNqryLedgerApportsCrosstab`.`Repayment Year`, `10-SUNqryLedgerApportsCrosstab`.Project8, `10-SUNqryLedgerApportsCrosstab`.Notes, `10-SUNqryLedgerApportsCrosstab`.Total, `10-SUNqryLedgerApportsCrosstab`.CMAQ, `10-SUNqryLedgerApportsCrosstab`.`CMAQ 25`, `10-SUNqryLedgerApportsCrosstab`.`HURF Exchange`, `10-SUNqryLedgerApportsCrosstab`.HSIP, `10-SUNqryLedgerApportsCrosstab`.PLAN, `10-SUNqryLedgerApportsCrosstab`.SPR, `10-SUNqryLedgerApportsCrosstab`.`STP &lt;5`, `10-SUNqryLedgerApportsCrosstab`.`STP 5-2`, `10-SUNqryLedgerApportsCrosstab`.`STP Flex`, `10-SUNqryLedgerApportsCrosstab`.`STP &gt;200`, `10-SUNqryLedgerApportsCrosstab`.`TAP Flex`, `10-SUNqryLedgerApportsCrosstab`.`TAP &gt;200`_x000d__x000a_FROM `G:\FMS\RESOURCE\ACCESS\010614 PBPF\011614 PBPF front.accdb`.`10-SUNqryLedgerApportsCrosstab` `10-SUNqryLedgerApportsCrosstab`_x000d__x000a_WHERE (`10-SUNqryLedgerApportsCrosstab`.Total&lt;&gt;0)"/>
  </connection>
  <connection id="3" name="Query from MS Access Database2" type="1" refreshedVersion="4" background="1" saveData="1">
    <dbPr connection="DSN=MS Access Database;DBQ=G:\FMS\RESOURCE\ACCESS\010614 PBPF\011614 PBPF front.accdb;DefaultDir=G:\FMS\RESOURCE\ACCESS\010614 PBPF;DriverId=25;FIL=MS Access;MaxBufferSize=2048;PageTimeout=5;" command="SELECT `10-SUNqryLedgerOACrosstab`.`Transaction Year`, `10-SUNqryLedgerOACrosstab`.`Transaction Type`, `10-SUNqryLedgerOACrosstab`.Number, `10-SUNqryLedgerOACrosstab`.`From`, `10-SUNqryLedgerOACrosstab`.To, `10-SUNqryLedgerOACrosstab`.`Repayment Year`, `10-SUNqryLedgerOACrosstab`.Project8, `10-SUNqryLedgerOACrosstab`.Notes, `10-SUNqryLedgerOACrosstab`.Total, `10-SUNqryLedgerOACrosstab`.CMAQ, `10-SUNqryLedgerOACrosstab`.`CMAQ 25`, `10-SUNqryLedgerOACrosstab`.`HURF Exchange`, `10-SUNqryLedgerOACrosstab`.HSIP, `10-SUNqryLedgerOACrosstab`.PLan, `10-SUNqryLedgerOACrosstab`.SPR, `10-SUNqryLedgerOACrosstab`.`STP &lt;5`, `10-SUNqryLedgerOACrosstab`.`STP 5-2`, `10-SUNqryLedgerOACrosstab`.`STP Flex`, `10-SUNqryLedgerOACrosstab`.`STP &gt;200`, `10-SUNqryLedgerOACrosstab`.`TAP Flex`, `10-SUNqryLedgerOACrosstab`.`TAP &gt;200`_x000d__x000a_FROM `G:\FMS\RESOURCE\ACCESS\010614 PBPF\011614 PBPF front.accdb`.`10-SUNqryLedgerOACrosstab` `10-SUNqryLedgerOACrosstab`_x000d__x000a_WHERE (`10-SUNqryLedgerOACrosstab`.Total&lt;&gt;0)"/>
  </connection>
  <connection id="4" name="Query from MS Access Database3" type="1" refreshedVersion="4" background="1" saveData="1">
    <dbPr connection="DSN=MS Access Database;DBQ=G:\FMS\RESOURCE\ACCESS\010614 PBPF\011614 PBPF front.accdb;DefaultDir=G:\FMS\RESOURCE\ACCESS\010614 PBPF;DriverId=25;FIL=MS Access;MaxBufferSize=2048;PageTimeout=5;" command="SELECT `10-SUNMPO LEDGER`.`ADOT#`, `10-SUNMPO LEDGER`.`TIP#`, `10-SUNMPO LEDGER`.Sponsor, `10-SUNMPO LEDGER`.`Action/15`, `10-SUNMPO LEDGER`.Location, `10-SUNMPO LEDGER`.RTE, `10-SUNMPO LEDGER`.SEC, `10-SUNMPO LEDGER`.SEQ, `10-SUNMPO LEDGER`.`PB Expected`, `10-SUNMPO LEDGER`.`PB Received`, `10-SUNMPO LEDGER`.`PF Transmitted`, `10-SUNMPO LEDGER`.`Finance Authorization`, `10-SUNMPO LEDGER`.`HURF EXCHANGE` AS `HURF EX`, `10-SUNMPO LEDGER`.HSIP, `10-SUNMPO LEDGER`.PL, `10-SUNMPO LEDGER`.SPR, `10-SUNMPO LEDGER`.`STP &lt;5`, `10-SUNMPO LEDGER`.`STP 5-200`, `10-SUNMPO LEDGER`.`STP OTHER`_x000d__x000a_FROM `G:\FMS\RESOURCE\ACCESS\010614 PBPF\011614 PBPF front.accdb`.`10-SUNMPO LEDGER` `10-SUNMPO LEDGER`_x000d__x000a_WHERE (`10-SUNMPO LEDGER`.`ADOT#` Not Like 'Trick') AND (`10-SUNMPO LEDGER`.`Finance Authorization` Is Null) AND ((`10-SUNMPO LEDGER`.`PB Expected`&gt;=#10/1/2018# and `PB Expected`&lt;=#9/30/2019#) OR (`10-SUNMPO LEDGER`.`PB Received`&gt;=#10/1/2018# and `PB Received`&lt;=#9/30/2019#) OR (`10-SUNMPO LEDGER`.`PF Transmitted`&gt;=#10/1/2018# and `PF Transmitted`&lt;=#9/30/2019#))_x000d__x000a_ORDER BY `10-SUNMPO LEDGER`.`ADOT#`"/>
  </connection>
</connections>
</file>

<file path=xl/sharedStrings.xml><?xml version="1.0" encoding="utf-8"?>
<sst xmlns="http://schemas.openxmlformats.org/spreadsheetml/2006/main" count="874" uniqueCount="247">
  <si>
    <t>TIP#</t>
  </si>
  <si>
    <t>ADOT#</t>
  </si>
  <si>
    <t>Location</t>
  </si>
  <si>
    <t>Sponsor</t>
  </si>
  <si>
    <t>HSIP</t>
  </si>
  <si>
    <t>SPR</t>
  </si>
  <si>
    <t>STP other</t>
  </si>
  <si>
    <t>New Auth</t>
  </si>
  <si>
    <t>MPA</t>
  </si>
  <si>
    <t>FV MPA</t>
  </si>
  <si>
    <t>Total</t>
  </si>
  <si>
    <t>Description</t>
  </si>
  <si>
    <t>APPORTIONMENTS /1</t>
  </si>
  <si>
    <t>Number</t>
  </si>
  <si>
    <t>Details</t>
  </si>
  <si>
    <t>FFY OBLIGATION AUTHORITY /2</t>
  </si>
  <si>
    <t>Apportionments represent the amount of federal funding based on formula. Apportionments generally exceed obligation authority (OA), resulting in excess apportionments that cannot be obligated. Over the life of a multi-year federal transportation program authorization, apportionments may accumulate but cannot be utilized unless Congress approves a matching amount of OA. There is no guarantee Congress will  provide the OA necessary to fully utilize apportionments.</t>
  </si>
  <si>
    <t>OA is the amount of authorized apportionments which Congress allows states to obligated in an individual year. This is the amount which FHWA will reimburse.</t>
  </si>
  <si>
    <t>Unobligated OA may be used with any category of apportionments. An equal amount of each is required to obligate funds.</t>
  </si>
  <si>
    <t xml:space="preserve">Because federal regulations require adjustment to the amount authorized within 90 days of a change in costs, finance actions may be required on projects programmed in previous fiscal years. Depending on the type of federal funds involved, these actions may reduce or increase the region's apportionments and/or OA. </t>
  </si>
  <si>
    <t>New Authorization</t>
  </si>
  <si>
    <t>Award MPA</t>
  </si>
  <si>
    <t>Convert AC</t>
  </si>
  <si>
    <t>Other</t>
  </si>
  <si>
    <t>Modified Project Agreement</t>
  </si>
  <si>
    <t>Cancel</t>
  </si>
  <si>
    <t>Project Withdrawn</t>
  </si>
  <si>
    <t>AC Auth</t>
  </si>
  <si>
    <t>Modification (increase or decrease) due to bid award</t>
  </si>
  <si>
    <t>Conversion of advanced construction balances (MAG only)</t>
  </si>
  <si>
    <t>Modification (increase or decrease) required to complete the Final Voucher and fully close the project</t>
  </si>
  <si>
    <t>AC Authorization (MAG only)</t>
  </si>
  <si>
    <t>A transaction type not otherwise listed</t>
  </si>
  <si>
    <r>
      <t xml:space="preserve">LAPSING FUNDS:  </t>
    </r>
    <r>
      <rPr>
        <sz val="11"/>
        <rFont val="Calibri"/>
        <family val="2"/>
        <scheme val="minor"/>
      </rPr>
      <t xml:space="preserve">Carried forward apportionments and obligation authority lapse pursuant to the following schedule:
</t>
    </r>
    <r>
      <rPr>
        <sz val="8"/>
        <rFont val="Wingdings"/>
        <charset val="2"/>
      </rPr>
      <t>t</t>
    </r>
    <r>
      <rPr>
        <sz val="11"/>
        <rFont val="Calibri"/>
        <family val="2"/>
        <scheme val="minor"/>
      </rPr>
      <t xml:space="preserve">   Carried forward from FFY 11 and earlier - lapses 6/30/13
</t>
    </r>
    <r>
      <rPr>
        <sz val="8"/>
        <rFont val="Wingdings"/>
        <charset val="2"/>
      </rPr>
      <t>t</t>
    </r>
    <r>
      <rPr>
        <sz val="11"/>
        <rFont val="Calibri"/>
        <family val="2"/>
        <scheme val="minor"/>
      </rPr>
      <t xml:space="preserve">   FFY 12 funds - lapses 6/30/13
</t>
    </r>
    <r>
      <rPr>
        <sz val="8"/>
        <rFont val="Wingdings"/>
        <charset val="2"/>
      </rPr>
      <t>t</t>
    </r>
    <r>
      <rPr>
        <sz val="11"/>
        <rFont val="Calibri"/>
        <family val="2"/>
        <scheme val="minor"/>
      </rPr>
      <t xml:space="preserve">   FFY 13 funds - lapses 6/30/14
</t>
    </r>
    <r>
      <rPr>
        <sz val="8"/>
        <rFont val="Wingdings"/>
        <charset val="2"/>
      </rPr>
      <t xml:space="preserve">t </t>
    </r>
    <r>
      <rPr>
        <sz val="11"/>
        <rFont val="Calibri"/>
        <family val="2"/>
        <scheme val="minor"/>
      </rPr>
      <t xml:space="preserve">Funds from FFY 14 and thereafter - lapse annually on 6/30 of the year of allocation
</t>
    </r>
  </si>
  <si>
    <t xml:space="preserve">Action types: </t>
  </si>
  <si>
    <t>Please direct questions regarding federal funding ledgers to ADOT Financial Management Services at 602-712-7441.</t>
  </si>
  <si>
    <t>NOT YET AUTHORIZED</t>
  </si>
  <si>
    <t>"Repayments In" represent loan funds being repaid to the region by another entity. Repayments In increase apportionments and/or OA. See the Apportionment and OA Loan tables for transaction detail.</t>
  </si>
  <si>
    <t>"Loans In" represent funds received by the region from another entity which must be repaid. Loans In increase apportionments and/or OA. See the Apportionment and OA Loan tables for transaction detail.</t>
  </si>
  <si>
    <t>"Loans Out" represent funds being loaned to another entity and which will be repaid to the region based upon a scheduled agreed to in advance by both entities. Loans Out decrease apportionments and/or OA. See the Apportionment and OA Loan tables for transaction detail.</t>
  </si>
  <si>
    <t>"Repayments Out" represent funds which are being repaid to another entity. Repayments Out decrease apportionments and/or OA. See the Apportionment and OA Loan tables for transaction detail.</t>
  </si>
  <si>
    <t>"Transfers  In" represent funds received by the region from another entity which will not be repaid. See the Apportionment and OA Transfer tables for transaction detail.</t>
  </si>
  <si>
    <t>"Transfers  Out" represent funds given by the region to another entity which will not be repaid. See the Apportionment and OA Transfer tables for transaction detail.</t>
  </si>
  <si>
    <t>CMAQ</t>
  </si>
  <si>
    <t>PL</t>
  </si>
  <si>
    <t>Transaction Year</t>
  </si>
  <si>
    <t>Transaction Type</t>
  </si>
  <si>
    <t>Repayment Year</t>
  </si>
  <si>
    <t>RTE</t>
  </si>
  <si>
    <t>SEC</t>
  </si>
  <si>
    <t>SEQ</t>
  </si>
  <si>
    <t>PB Expected</t>
  </si>
  <si>
    <t>PB Received</t>
  </si>
  <si>
    <t>PF Transmitted</t>
  </si>
  <si>
    <t>Finance Authorization</t>
  </si>
  <si>
    <t>STP OTHER</t>
  </si>
  <si>
    <t>EXPECTED DECLINING BALANCE OA</t>
  </si>
  <si>
    <t>TOTAL</t>
  </si>
  <si>
    <t>SPR /4</t>
  </si>
  <si>
    <t>SPR apportionment availability for approved work program</t>
  </si>
  <si>
    <t>All OA and apportionments lapse annually on June 30th with the exception of apportionments for CMAQ, TA, and STP over 200K in MAG and PAG. Also exempt from lapsing are SPR apportionments associated with an approved work program for the following state fiscal year. For this purpose, 25% of the annual SPR allocation will be available for obligation between July 1 and September 1. The remaining 75% is available between October 1 and June 30.  See Note 4.</t>
  </si>
  <si>
    <t>APPORTIONMENTS</t>
  </si>
  <si>
    <t>OA</t>
  </si>
  <si>
    <t>HSIP/3</t>
  </si>
  <si>
    <t>AUTHORIZED FINANCE ACTIONS /14</t>
  </si>
  <si>
    <t>Processing Status /16</t>
  </si>
  <si>
    <r>
      <t xml:space="preserve">Available HSIP funding should be programmed </t>
    </r>
    <r>
      <rPr>
        <b/>
        <i/>
        <sz val="11"/>
        <color theme="1"/>
        <rFont val="Calibri"/>
        <family val="2"/>
        <scheme val="minor"/>
      </rPr>
      <t>only</t>
    </r>
    <r>
      <rPr>
        <sz val="11"/>
        <color theme="1"/>
        <rFont val="Calibri"/>
        <family val="2"/>
        <scheme val="minor"/>
      </rPr>
      <t xml:space="preserve"> for projects which have already met all of the following criteria: 
1) HSIP eligibility has been approved by ADOT and FHWA;  
2) An approved application is on file with ADOT by September 1 of the year prior to obligation; AND
3) The project is fully funded in the year of authorization (i.e. federal aid cannot be programmed across multiple years).
Unobligated HSIP apportionments and OA expire on June 30th each year and are not carried forward. 
</t>
    </r>
  </si>
  <si>
    <t>Processing Status:</t>
  </si>
  <si>
    <t>Date on which the request is actually received by the Program Budget office</t>
  </si>
  <si>
    <t>Date on which the finance authorization request is expected to be received by the Program Budget office for processing</t>
  </si>
  <si>
    <t>Date on which the project financing is approved by FHWA or the CFO's office as applicable</t>
  </si>
  <si>
    <t>Date on which the request is sent to FHWA (federally funded projects)or the CFO's office (RARF or other non-federal funded projects) for authorization approval</t>
  </si>
  <si>
    <t>Loans In /7</t>
  </si>
  <si>
    <t>Loans Out /8</t>
  </si>
  <si>
    <t>Repayments In /9</t>
  </si>
  <si>
    <t>Repayments Out  /10</t>
  </si>
  <si>
    <t>Transfers In /11</t>
  </si>
  <si>
    <t>Transfers Out /12</t>
  </si>
  <si>
    <t>Remaining Apportionments</t>
  </si>
  <si>
    <t>Total Used</t>
  </si>
  <si>
    <t>LAPSING FUNDS /17</t>
  </si>
  <si>
    <t>CURRENT YEAR FUNDS</t>
  </si>
  <si>
    <t>APPORTIONMENT LOANS, REPAYMENTS AND TRANSFERS /see Notes 7 - 12</t>
  </si>
  <si>
    <t>OA LOANS, REPAYMENTS AND TRANSFERS /see Notes 7 - 12</t>
  </si>
  <si>
    <t xml:space="preserve">Federal Aid Transaction Ledger
</t>
  </si>
  <si>
    <t>Data as of:</t>
  </si>
  <si>
    <t xml:space="preserve">Federal Aid Regional Loans and Transfers Ledger
</t>
  </si>
  <si>
    <t>Action/15</t>
  </si>
  <si>
    <t>TOTAL OF AMOUNT</t>
  </si>
  <si>
    <t>Expected Totals</t>
  </si>
  <si>
    <r>
      <rPr>
        <b/>
        <sz val="11"/>
        <color rgb="FFFF0000"/>
        <rFont val="Arial Unicode MS"/>
        <family val="2"/>
      </rPr>
      <t xml:space="preserve">IMPORTANT! </t>
    </r>
    <r>
      <rPr>
        <sz val="11"/>
        <color theme="1"/>
        <rFont val="Arial Unicode MS"/>
        <family val="2"/>
      </rPr>
      <t>Please review the information in the Notes tab for further explanation of the data in this document.</t>
    </r>
  </si>
  <si>
    <t>From</t>
  </si>
  <si>
    <t>To</t>
  </si>
  <si>
    <t>Project8</t>
  </si>
  <si>
    <t>Notes</t>
  </si>
  <si>
    <t>DECLINING BALANCE OA</t>
  </si>
  <si>
    <r>
      <rPr>
        <b/>
        <sz val="11"/>
        <color rgb="FFFF0000"/>
        <rFont val="Arial Unicode MS"/>
        <family val="2"/>
      </rPr>
      <t xml:space="preserve">DRAFT </t>
    </r>
    <r>
      <rPr>
        <sz val="11"/>
        <color theme="1"/>
        <rFont val="Arial Unicode MS"/>
        <family val="2"/>
      </rPr>
      <t>Data as of:</t>
    </r>
  </si>
  <si>
    <t>Loan Out</t>
  </si>
  <si>
    <t>Repayment In</t>
  </si>
  <si>
    <t>ADOT</t>
  </si>
  <si>
    <t>2014</t>
  </si>
  <si>
    <t>2016</t>
  </si>
  <si>
    <t>2015</t>
  </si>
  <si>
    <t>Current FFY
Apportionments /5</t>
  </si>
  <si>
    <t>Lapsing</t>
  </si>
  <si>
    <t>None</t>
  </si>
  <si>
    <t>Total SPR apportionments for Federal Fiscal Year 16 (as shown on ledger)</t>
  </si>
  <si>
    <t>2017</t>
  </si>
  <si>
    <t>2018</t>
  </si>
  <si>
    <t>STP &lt;5</t>
  </si>
  <si>
    <t>S</t>
  </si>
  <si>
    <t>019</t>
  </si>
  <si>
    <t>P</t>
  </si>
  <si>
    <t>Fed #</t>
  </si>
  <si>
    <t>Transfer Out</t>
  </si>
  <si>
    <t>STP 5-2</t>
  </si>
  <si>
    <r>
      <t xml:space="preserve">FFY Total Available 
</t>
    </r>
    <r>
      <rPr>
        <b/>
        <sz val="9"/>
        <color rgb="FFFF0000"/>
        <rFont val="Arial Unicode MS"/>
        <family val="2"/>
      </rPr>
      <t xml:space="preserve">*LAPSES ON 6/30* </t>
    </r>
    <r>
      <rPr>
        <sz val="9"/>
        <rFont val="Arial Unicode MS"/>
        <family val="2"/>
      </rPr>
      <t>/13</t>
    </r>
  </si>
  <si>
    <r>
      <t xml:space="preserve">Carry Forward
</t>
    </r>
    <r>
      <rPr>
        <sz val="9"/>
        <color rgb="FFFF0000"/>
        <rFont val="Arial Unicode MS"/>
        <family val="2"/>
      </rPr>
      <t>*</t>
    </r>
    <r>
      <rPr>
        <b/>
        <sz val="9"/>
        <color rgb="FFFF0000"/>
        <rFont val="Arial Unicode MS"/>
        <family val="2"/>
      </rPr>
      <t>LAPSES ON 6/30*</t>
    </r>
    <r>
      <rPr>
        <b/>
        <sz val="10"/>
        <rFont val="Calibri"/>
        <family val="2"/>
        <scheme val="minor"/>
      </rPr>
      <t/>
    </r>
  </si>
  <si>
    <t>Transfer In</t>
  </si>
  <si>
    <t>MAG</t>
  </si>
  <si>
    <t>Regional Safety Plan</t>
  </si>
  <si>
    <t>State FY 19 amount avaiilable for authorization 07/1/19 - 09/30/19 (request must be submitted by 09/01/19)</t>
  </si>
  <si>
    <t>State FY 18 Approved work program amount</t>
  </si>
  <si>
    <t>State FY 18 amount authorized prior to 09/30/18 or Lapsed funding</t>
  </si>
  <si>
    <t xml:space="preserve">State FY 18 amount available for authorization 10/01/18 - 06/30/19 </t>
  </si>
  <si>
    <t>Loan In</t>
  </si>
  <si>
    <t>NACOG</t>
  </si>
  <si>
    <t>Repayment Out</t>
  </si>
  <si>
    <t>Toltec Rd</t>
  </si>
  <si>
    <t>0</t>
  </si>
  <si>
    <t>VARIOUS</t>
  </si>
  <si>
    <t>Sun Corridor Metropolitan Planning Organization</t>
  </si>
  <si>
    <t>SUNMPO-LP01</t>
  </si>
  <si>
    <t>SUNMPO</t>
  </si>
  <si>
    <t>SUNMPO LAPSING FUNDS - FFY14</t>
  </si>
  <si>
    <t>WACOG14-L004</t>
  </si>
  <si>
    <t>WACOG</t>
  </si>
  <si>
    <t>SCMPO SAFTEY PLAN</t>
  </si>
  <si>
    <t>WACOG HSIP LOAN TO SUNPMO</t>
  </si>
  <si>
    <t>CAG-T002</t>
  </si>
  <si>
    <t>CAG</t>
  </si>
  <si>
    <t>SZ130</t>
  </si>
  <si>
    <t>STP Transfer to SCMPO from SUNMPO</t>
  </si>
  <si>
    <t>NACOG-15L1</t>
  </si>
  <si>
    <t>NACOG Loan to SCMPO</t>
  </si>
  <si>
    <t>SCMPO-15L1</t>
  </si>
  <si>
    <t>SCMPO Loan to CAG</t>
  </si>
  <si>
    <t>SCMPOADOT-16L1</t>
  </si>
  <si>
    <t>T005501C</t>
  </si>
  <si>
    <t>SCMPO HSIP Loan to ADOT</t>
  </si>
  <si>
    <t>SCMPOMAG-16L1</t>
  </si>
  <si>
    <t>SCMPO STP Loan to MAG</t>
  </si>
  <si>
    <t>WACOG HSIP LOAN TO SUNPMO REPAYMENT</t>
  </si>
  <si>
    <t>NACOGSCMPO-17</t>
  </si>
  <si>
    <t>NACOG STP Loan to SCMPO</t>
  </si>
  <si>
    <t>SCMPOADOT-17L1</t>
  </si>
  <si>
    <t>SCMPOADOT-17L2</t>
  </si>
  <si>
    <t>SCMPOMAG-17L1</t>
  </si>
  <si>
    <t>2018/20</t>
  </si>
  <si>
    <t>CAGSCMPO-17T1</t>
  </si>
  <si>
    <t>Pinal County Safety Study</t>
  </si>
  <si>
    <t>CAG HSIP Transfer to SCMPO</t>
  </si>
  <si>
    <t>MAGSCMPO-17T1</t>
  </si>
  <si>
    <t>MAG HSIP Transfer to SCMPO</t>
  </si>
  <si>
    <t>SCMPOADOT-17T1</t>
  </si>
  <si>
    <t>H887701C</t>
  </si>
  <si>
    <t>SCMPO HSIP Transfer to ADOT</t>
  </si>
  <si>
    <t>FY18T1-SCMPOADOT</t>
  </si>
  <si>
    <t>H883801C</t>
  </si>
  <si>
    <t>2020</t>
  </si>
  <si>
    <t>ELOY</t>
  </si>
  <si>
    <t>ELY</t>
  </si>
  <si>
    <t>PSC1901P</t>
  </si>
  <si>
    <t>SCMPO 2019 WP - SPR</t>
  </si>
  <si>
    <t>SCM</t>
  </si>
  <si>
    <t>PSC1902P</t>
  </si>
  <si>
    <t>SCMPO 2019 WP - PL</t>
  </si>
  <si>
    <t>Toltec Rd-Battaglia Rd to I-10 - Eloy</t>
  </si>
  <si>
    <t>T011201D</t>
  </si>
  <si>
    <t>The  OA to apportionments for FFY 18 is 94.9%.  The rate for calculations is 0.949.</t>
  </si>
  <si>
    <t>CMAQ 25</t>
  </si>
  <si>
    <t>PLAN</t>
  </si>
  <si>
    <t>STP Flex</t>
  </si>
  <si>
    <t>STP &gt;200</t>
  </si>
  <si>
    <t>TAP Flex</t>
  </si>
  <si>
    <t>TAP &gt;200</t>
  </si>
  <si>
    <t>FY18T1-ADOTSUNMPO</t>
  </si>
  <si>
    <t>Korsten TI</t>
  </si>
  <si>
    <t>ADOT STP 5-2 Transfer to SCMPO</t>
  </si>
  <si>
    <t>PLan</t>
  </si>
  <si>
    <t>STP 5-200</t>
  </si>
  <si>
    <t>HURF Ex</t>
  </si>
  <si>
    <t>HURF Exchange</t>
  </si>
  <si>
    <t>HURF EX</t>
  </si>
  <si>
    <t>ADOTSCMPO-181</t>
  </si>
  <si>
    <t>VARIOUS HSIP</t>
  </si>
  <si>
    <t>ADOT HSIP Transfer to SCMPO</t>
  </si>
  <si>
    <t>HFX</t>
  </si>
  <si>
    <t>T018101D</t>
  </si>
  <si>
    <t>ADOTSCMPO-182</t>
  </si>
  <si>
    <t>ADOTSCMPO-18T1</t>
  </si>
  <si>
    <t>ADOT HURF EX Transfer to SCMPO</t>
  </si>
  <si>
    <t>SCMPO STP 5-2 Transfer to ADOT</t>
  </si>
  <si>
    <t>A</t>
  </si>
  <si>
    <t>094</t>
  </si>
  <si>
    <t>Federal Fiscal Year 2019</t>
  </si>
  <si>
    <t>Planned Lapsing - 06/30/19</t>
  </si>
  <si>
    <t>Lapsed - 07/01/19</t>
  </si>
  <si>
    <t>Planned Lapsing - 09/30/19</t>
  </si>
  <si>
    <t>Carry Forward to FFY 20</t>
  </si>
  <si>
    <t>ADOTSCMPO-18T2</t>
  </si>
  <si>
    <t>SCMPOADOT-18T3</t>
  </si>
  <si>
    <t>FV BALANCES</t>
  </si>
  <si>
    <t>2019</t>
  </si>
  <si>
    <t>ADOT STBGP Transfer to SCMPO</t>
  </si>
  <si>
    <t>ELY 17-02D</t>
  </si>
  <si>
    <t>Battaglia Rd; Sunshine Blvd - SR87</t>
  </si>
  <si>
    <t>PSC2001P</t>
  </si>
  <si>
    <t>SCMPO 2020 WP - SPR</t>
  </si>
  <si>
    <t>020</t>
  </si>
  <si>
    <t>PSC2002P</t>
  </si>
  <si>
    <t>SCMPO 2020 WP - PL</t>
  </si>
  <si>
    <t>SH63201C</t>
  </si>
  <si>
    <t>ELY-14-01C</t>
  </si>
  <si>
    <t>PROCUREMENT OF 500 REGULATORY STREET SIGNS</t>
  </si>
  <si>
    <t>203</t>
  </si>
  <si>
    <t>SH63203D</t>
  </si>
  <si>
    <t>T011201C</t>
  </si>
  <si>
    <t>ELY 16-01C</t>
  </si>
  <si>
    <t>RLTAP24P</t>
  </si>
  <si>
    <t>LTAP - FFY19</t>
  </si>
  <si>
    <t>TBD</t>
  </si>
  <si>
    <t>LOCAL LEDGERS</t>
  </si>
  <si>
    <t>PSC1802P</t>
  </si>
  <si>
    <t>SCMPO 2018 WP - PL</t>
  </si>
  <si>
    <t>018</t>
  </si>
  <si>
    <t>ADOTSCMPO-19T1</t>
  </si>
  <si>
    <t>PSC1801P</t>
  </si>
  <si>
    <t>SCMPO 2017 WP - SPR</t>
  </si>
  <si>
    <t>ADOTSVMPO-19T1</t>
  </si>
  <si>
    <t>SVMPO</t>
  </si>
  <si>
    <t>T018201D</t>
  </si>
  <si>
    <t>SVMPO STP 5-2 Transfer to ADOT</t>
  </si>
  <si>
    <t>SCMPOADOT-20L1</t>
  </si>
  <si>
    <t>2022</t>
  </si>
  <si>
    <t>T0181</t>
  </si>
  <si>
    <t>SCMPO STBGP Loan to ADOT</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</si>
</sst>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8" formatCode="&quot;$&quot;#,##0.00_);[Red]\(&quot;$&quot;#,##0.00\)"/>
    <numFmt numFmtId="44" formatCode="_(&quot;$&quot;* #,##0.00_);_(&quot;$&quot;* \(#,##0.00\);_(&quot;$&quot;* &quot;-&quot;??_);_(@_)"/>
    <numFmt numFmtId="43" formatCode="_(* #,##0.00_);_(* \(#,##0.00\);_(* &quot;-&quot;??_);_(@_)"/>
    <numFmt numFmtId="164" formatCode="mm/dd/yy;@"/>
  </numFmts>
  <fonts count="41" x14ac:knownFonts="1">
    <font>
      <sz val="11"/>
      <color theme="1"/>
      <name val="Calibri"/>
      <family val="2"/>
      <scheme val="minor"/>
    </font>
    <font>
      <sz val="11"/>
      <color theme="1"/>
      <name val="Calibri"/>
      <family val="2"/>
      <scheme val="minor"/>
    </font>
    <font>
      <b/>
      <sz val="11"/>
      <color theme="1"/>
      <name val="Calibri"/>
      <family val="2"/>
      <scheme val="minor"/>
    </font>
    <font>
      <sz val="11"/>
      <name val="Calibri"/>
      <family val="2"/>
      <scheme val="minor"/>
    </font>
    <font>
      <b/>
      <sz val="12"/>
      <name val="Calibri"/>
      <family val="2"/>
      <scheme val="minor"/>
    </font>
    <font>
      <b/>
      <sz val="14"/>
      <color theme="1"/>
      <name val="Calibri"/>
      <family val="2"/>
      <scheme val="minor"/>
    </font>
    <font>
      <b/>
      <sz val="11"/>
      <color rgb="FFFF0000"/>
      <name val="Calibri"/>
      <family val="2"/>
      <scheme val="minor"/>
    </font>
    <font>
      <sz val="8"/>
      <name val="Wingdings"/>
      <charset val="2"/>
    </font>
    <font>
      <sz val="10"/>
      <color indexed="8"/>
      <name val="Arial"/>
      <family val="2"/>
    </font>
    <font>
      <sz val="11"/>
      <color indexed="8"/>
      <name val="Calibri"/>
      <family val="2"/>
    </font>
    <font>
      <b/>
      <sz val="10"/>
      <name val="Calibri"/>
      <family val="2"/>
      <scheme val="minor"/>
    </font>
    <font>
      <b/>
      <i/>
      <sz val="11"/>
      <color theme="1"/>
      <name val="Calibri"/>
      <family val="2"/>
      <scheme val="minor"/>
    </font>
    <font>
      <b/>
      <sz val="11"/>
      <color indexed="8"/>
      <name val="Calibri"/>
      <family val="2"/>
    </font>
    <font>
      <sz val="11"/>
      <color theme="1"/>
      <name val="Calibri"/>
      <family val="2"/>
      <scheme val="minor"/>
    </font>
    <font>
      <sz val="11"/>
      <color theme="1"/>
      <name val="Arial Unicode MS"/>
      <family val="2"/>
    </font>
    <font>
      <b/>
      <sz val="16"/>
      <color rgb="FFFF0000"/>
      <name val="Arial Unicode MS"/>
      <family val="2"/>
    </font>
    <font>
      <b/>
      <sz val="11"/>
      <color theme="1"/>
      <name val="Arial Unicode MS"/>
      <family val="2"/>
    </font>
    <font>
      <b/>
      <sz val="10"/>
      <color theme="0"/>
      <name val="Arial Unicode MS"/>
      <family val="2"/>
    </font>
    <font>
      <b/>
      <sz val="9"/>
      <color theme="0"/>
      <name val="Arial Unicode MS"/>
      <family val="2"/>
    </font>
    <font>
      <b/>
      <sz val="9"/>
      <name val="Arial Unicode MS"/>
      <family val="2"/>
    </font>
    <font>
      <sz val="9"/>
      <color theme="1"/>
      <name val="Arial Unicode MS"/>
      <family val="2"/>
    </font>
    <font>
      <sz val="9"/>
      <color rgb="FFFF0000"/>
      <name val="Arial Unicode MS"/>
      <family val="2"/>
    </font>
    <font>
      <b/>
      <sz val="9"/>
      <color rgb="FFFF0000"/>
      <name val="Arial Unicode MS"/>
      <family val="2"/>
    </font>
    <font>
      <b/>
      <sz val="10"/>
      <color theme="1"/>
      <name val="Arial Unicode MS"/>
      <family val="2"/>
    </font>
    <font>
      <sz val="10"/>
      <color theme="1"/>
      <name val="Arial Unicode MS"/>
      <family val="2"/>
    </font>
    <font>
      <b/>
      <sz val="11"/>
      <color rgb="FFFF0000"/>
      <name val="Arial Unicode MS"/>
      <family val="2"/>
    </font>
    <font>
      <b/>
      <sz val="9"/>
      <color theme="1"/>
      <name val="Arial Unicode MS"/>
      <family val="2"/>
    </font>
    <font>
      <sz val="9"/>
      <name val="Arial Unicode MS"/>
      <family val="2"/>
    </font>
    <font>
      <b/>
      <sz val="12"/>
      <name val="Arial Unicode MS"/>
      <family val="2"/>
    </font>
    <font>
      <b/>
      <sz val="10"/>
      <name val="Arial Unicode MS"/>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9"/>
      <color theme="1"/>
      <name val="Arial Unicode MS"/>
    </font>
    <font>
      <sz val="9"/>
      <name val="Arial Unicode MS"/>
    </font>
    <font>
      <sz val="11"/>
      <color theme="1"/>
      <name val="Calibri"/>
      <scheme val="minor"/>
    </font>
  </fonts>
  <fills count="6">
    <fill>
      <patternFill patternType="none"/>
    </fill>
    <fill>
      <patternFill patternType="gray125"/>
    </fill>
    <fill>
      <patternFill patternType="solid">
        <fgColor rgb="FFFFFF00"/>
        <bgColor indexed="64"/>
      </patternFill>
    </fill>
    <fill>
      <patternFill patternType="solid">
        <fgColor theme="5" tint="0.79998168889431442"/>
        <bgColor indexed="64"/>
      </patternFill>
    </fill>
    <fill>
      <patternFill patternType="solid">
        <fgColor theme="4" tint="0.39994506668294322"/>
        <bgColor indexed="64"/>
      </patternFill>
    </fill>
    <fill>
      <patternFill patternType="solid">
        <fgColor theme="4" tint="0.39994506668294322"/>
        <bgColor theme="8"/>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top/>
      <bottom style="thin">
        <color indexed="64"/>
      </bottom>
      <diagonal/>
    </border>
    <border>
      <left/>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diagonal/>
    </border>
    <border>
      <left style="thin">
        <color indexed="64"/>
      </left>
      <right style="thin">
        <color indexed="64"/>
      </right>
      <top/>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s>
  <cellStyleXfs count="4">
    <xf numFmtId="0" fontId="0" fillId="0" borderId="0"/>
    <xf numFmtId="44" fontId="1" fillId="0" borderId="0" applyFont="0" applyFill="0" applyBorder="0" applyAlignment="0" applyProtection="0"/>
    <xf numFmtId="0" fontId="8" fillId="0" borderId="0"/>
    <xf numFmtId="43" fontId="1" fillId="0" borderId="0" applyFont="0" applyFill="0" applyBorder="0" applyAlignment="0" applyProtection="0"/>
  </cellStyleXfs>
  <cellXfs count="187">
    <xf numFmtId="0" fontId="0" fillId="0" borderId="0" xfId="0"/>
    <xf numFmtId="0" fontId="0" fillId="0" borderId="0" xfId="0" applyAlignment="1">
      <alignment horizontal="center" vertical="top"/>
    </xf>
    <xf numFmtId="0" fontId="0" fillId="0" borderId="0" xfId="0" applyAlignment="1">
      <alignment horizontal="left" indent="2"/>
    </xf>
    <xf numFmtId="0" fontId="0" fillId="0" borderId="0" xfId="0" applyAlignment="1">
      <alignment horizontal="left" vertical="top" wrapText="1"/>
    </xf>
    <xf numFmtId="0" fontId="2" fillId="0" borderId="0" xfId="0" applyFont="1" applyAlignment="1">
      <alignment horizontal="center" vertical="top"/>
    </xf>
    <xf numFmtId="0" fontId="9" fillId="0" borderId="0" xfId="2" applyFont="1" applyFill="1" applyBorder="1" applyAlignment="1">
      <alignment vertical="top" wrapText="1"/>
    </xf>
    <xf numFmtId="0" fontId="9" fillId="0" borderId="0" xfId="2" applyFont="1" applyFill="1" applyBorder="1" applyAlignment="1">
      <alignment horizontal="left" vertical="top" wrapText="1"/>
    </xf>
    <xf numFmtId="0" fontId="0" fillId="0" borderId="0" xfId="0" applyAlignment="1">
      <alignment horizontal="left" vertical="top" wrapText="1"/>
    </xf>
    <xf numFmtId="0" fontId="2" fillId="0" borderId="0" xfId="0" applyFont="1" applyAlignment="1">
      <alignment vertical="top" wrapText="1"/>
    </xf>
    <xf numFmtId="0" fontId="0" fillId="0" borderId="0" xfId="0" applyBorder="1"/>
    <xf numFmtId="0" fontId="0" fillId="0" borderId="0" xfId="0" applyAlignment="1">
      <alignment horizontal="left" vertical="top" wrapText="1"/>
    </xf>
    <xf numFmtId="8" fontId="0" fillId="0" borderId="12" xfId="1" applyNumberFormat="1" applyFont="1" applyBorder="1" applyAlignment="1">
      <alignment vertical="top" wrapText="1"/>
    </xf>
    <xf numFmtId="8" fontId="0" fillId="0" borderId="0" xfId="1" applyNumberFormat="1" applyFont="1" applyBorder="1" applyAlignment="1">
      <alignment vertical="top" wrapText="1"/>
    </xf>
    <xf numFmtId="8" fontId="2" fillId="3" borderId="0" xfId="1" applyNumberFormat="1" applyFont="1" applyFill="1" applyBorder="1" applyAlignment="1">
      <alignment vertical="top" wrapText="1"/>
    </xf>
    <xf numFmtId="8" fontId="0" fillId="3" borderId="0" xfId="1" applyNumberFormat="1" applyFont="1" applyFill="1" applyBorder="1" applyAlignment="1">
      <alignment vertical="top" wrapText="1"/>
    </xf>
    <xf numFmtId="8" fontId="0" fillId="3" borderId="0" xfId="1" applyNumberFormat="1" applyFont="1" applyFill="1" applyAlignment="1">
      <alignment vertical="top" wrapText="1"/>
    </xf>
    <xf numFmtId="0" fontId="9" fillId="3" borderId="0" xfId="2" applyFont="1" applyFill="1" applyBorder="1" applyAlignment="1">
      <alignment vertical="top" wrapText="1"/>
    </xf>
    <xf numFmtId="0" fontId="0" fillId="0" borderId="0" xfId="0"/>
    <xf numFmtId="0" fontId="0" fillId="0" borderId="0" xfId="0" applyAlignment="1">
      <alignment horizontal="center" vertical="top"/>
    </xf>
    <xf numFmtId="0" fontId="0" fillId="0" borderId="0" xfId="0" applyAlignment="1">
      <alignment horizontal="left" vertical="top" wrapText="1"/>
    </xf>
    <xf numFmtId="0" fontId="9" fillId="0" borderId="0" xfId="2" applyFont="1" applyFill="1" applyBorder="1" applyAlignment="1">
      <alignment vertical="top" wrapText="1"/>
    </xf>
    <xf numFmtId="0" fontId="9" fillId="0" borderId="0" xfId="2" applyFont="1" applyFill="1" applyBorder="1" applyAlignment="1">
      <alignment horizontal="left" vertical="top" wrapText="1"/>
    </xf>
    <xf numFmtId="0" fontId="0" fillId="0" borderId="0" xfId="0" applyFill="1" applyAlignment="1">
      <alignment horizontal="left" vertical="top" wrapText="1"/>
    </xf>
    <xf numFmtId="8" fontId="0" fillId="0" borderId="0" xfId="1" applyNumberFormat="1" applyFont="1" applyFill="1" applyAlignment="1">
      <alignment vertical="top" wrapText="1"/>
    </xf>
    <xf numFmtId="0" fontId="12" fillId="0" borderId="0" xfId="2" applyFont="1" applyFill="1" applyBorder="1" applyAlignment="1">
      <alignment vertical="top" wrapText="1"/>
    </xf>
    <xf numFmtId="43" fontId="0" fillId="0" borderId="0" xfId="3" applyFont="1"/>
    <xf numFmtId="43" fontId="0" fillId="0" borderId="0" xfId="3" applyFont="1" applyAlignment="1">
      <alignment wrapText="1"/>
    </xf>
    <xf numFmtId="43" fontId="0" fillId="0" borderId="0" xfId="3" applyFont="1" applyAlignment="1">
      <alignment vertical="top" wrapText="1"/>
    </xf>
    <xf numFmtId="43" fontId="2" fillId="0" borderId="0" xfId="3" applyFont="1" applyAlignment="1">
      <alignment horizontal="left" vertical="top" wrapText="1"/>
    </xf>
    <xf numFmtId="43" fontId="0" fillId="0" borderId="0" xfId="3" applyFont="1" applyBorder="1" applyAlignment="1">
      <alignment vertical="top" wrapText="1"/>
    </xf>
    <xf numFmtId="43" fontId="4" fillId="0" borderId="0" xfId="3" applyFont="1" applyBorder="1" applyAlignment="1">
      <alignment horizontal="left" vertical="top" wrapText="1"/>
    </xf>
    <xf numFmtId="43" fontId="0" fillId="0" borderId="0" xfId="3" applyFont="1" applyBorder="1"/>
    <xf numFmtId="43" fontId="0" fillId="0" borderId="0" xfId="3" applyFont="1" applyBorder="1" applyAlignment="1">
      <alignment wrapText="1"/>
    </xf>
    <xf numFmtId="0" fontId="14" fillId="0" borderId="0" xfId="0" applyFont="1" applyAlignment="1">
      <alignment vertical="top" wrapText="1"/>
    </xf>
    <xf numFmtId="14" fontId="14" fillId="0" borderId="0" xfId="0" applyNumberFormat="1" applyFont="1" applyAlignment="1">
      <alignment vertical="top" wrapText="1"/>
    </xf>
    <xf numFmtId="14" fontId="15" fillId="0" borderId="0" xfId="0" applyNumberFormat="1" applyFont="1" applyAlignment="1">
      <alignment horizontal="center" vertical="center" wrapText="1"/>
    </xf>
    <xf numFmtId="40" fontId="14" fillId="0" borderId="0" xfId="0" applyNumberFormat="1" applyFont="1" applyAlignment="1">
      <alignment vertical="top" wrapText="1"/>
    </xf>
    <xf numFmtId="0" fontId="16" fillId="0" borderId="0" xfId="0" applyFont="1" applyAlignment="1">
      <alignment vertical="top" wrapText="1"/>
    </xf>
    <xf numFmtId="0" fontId="16" fillId="0" borderId="0" xfId="0" applyFont="1" applyAlignment="1">
      <alignment horizontal="left" vertical="top" wrapText="1"/>
    </xf>
    <xf numFmtId="40" fontId="24" fillId="0" borderId="0" xfId="0" applyNumberFormat="1" applyFont="1" applyFill="1" applyBorder="1" applyAlignment="1">
      <alignment vertical="top" wrapText="1"/>
    </xf>
    <xf numFmtId="14" fontId="14" fillId="0" borderId="0" xfId="0" applyNumberFormat="1" applyFont="1" applyAlignment="1">
      <alignment horizontal="left" vertical="center" wrapText="1"/>
    </xf>
    <xf numFmtId="0" fontId="14" fillId="0" borderId="0" xfId="0" applyFont="1" applyAlignment="1">
      <alignment horizontal="left" vertical="top" wrapText="1"/>
    </xf>
    <xf numFmtId="40" fontId="23" fillId="0" borderId="0" xfId="0" applyNumberFormat="1" applyFont="1" applyBorder="1" applyAlignment="1">
      <alignment horizontal="left" vertical="top" wrapText="1"/>
    </xf>
    <xf numFmtId="40" fontId="23" fillId="0" borderId="0" xfId="0" applyNumberFormat="1" applyFont="1" applyFill="1" applyBorder="1" applyAlignment="1">
      <alignment horizontal="right" vertical="top" wrapText="1"/>
    </xf>
    <xf numFmtId="40" fontId="16" fillId="0" borderId="0" xfId="0" applyNumberFormat="1" applyFont="1" applyBorder="1" applyAlignment="1">
      <alignment vertical="top" wrapText="1"/>
    </xf>
    <xf numFmtId="40" fontId="24" fillId="0" borderId="0" xfId="0" applyNumberFormat="1" applyFont="1" applyBorder="1" applyAlignment="1">
      <alignment vertical="top" wrapText="1"/>
    </xf>
    <xf numFmtId="40" fontId="18" fillId="0" borderId="0" xfId="0" applyNumberFormat="1" applyFont="1" applyBorder="1" applyAlignment="1">
      <alignment horizontal="center" vertical="center" wrapText="1"/>
    </xf>
    <xf numFmtId="40" fontId="17" fillId="0" borderId="0" xfId="0" applyNumberFormat="1" applyFont="1" applyBorder="1" applyAlignment="1">
      <alignment horizontal="center" vertical="center" wrapText="1"/>
    </xf>
    <xf numFmtId="0" fontId="14" fillId="0" borderId="0" xfId="0" applyFont="1" applyBorder="1" applyAlignment="1">
      <alignment vertical="top" wrapText="1"/>
    </xf>
    <xf numFmtId="14" fontId="14" fillId="0" borderId="0" xfId="0" applyNumberFormat="1" applyFont="1" applyBorder="1" applyAlignment="1">
      <alignment vertical="top" wrapText="1"/>
    </xf>
    <xf numFmtId="40" fontId="14" fillId="0" borderId="0" xfId="0" applyNumberFormat="1" applyFont="1" applyBorder="1" applyAlignment="1">
      <alignment vertical="top" wrapText="1"/>
    </xf>
    <xf numFmtId="0" fontId="20" fillId="0" borderId="0" xfId="0" applyFont="1" applyBorder="1" applyAlignment="1">
      <alignment vertical="top" wrapText="1"/>
    </xf>
    <xf numFmtId="0" fontId="24" fillId="0" borderId="0" xfId="0" applyFont="1" applyBorder="1" applyAlignment="1">
      <alignment vertical="top" wrapText="1"/>
    </xf>
    <xf numFmtId="0" fontId="24" fillId="0" borderId="0" xfId="0" applyFont="1" applyBorder="1" applyAlignment="1">
      <alignment horizontal="center" vertical="center" wrapText="1"/>
    </xf>
    <xf numFmtId="40" fontId="24" fillId="0" borderId="0" xfId="0" applyNumberFormat="1" applyFont="1" applyBorder="1"/>
    <xf numFmtId="40" fontId="24" fillId="0" borderId="0" xfId="0" applyNumberFormat="1" applyFont="1" applyBorder="1" applyAlignment="1">
      <alignment horizontal="center" vertical="center" wrapText="1"/>
    </xf>
    <xf numFmtId="40" fontId="20" fillId="0" borderId="0" xfId="0" applyNumberFormat="1" applyFont="1" applyBorder="1" applyAlignment="1">
      <alignment vertical="top" wrapText="1"/>
    </xf>
    <xf numFmtId="0" fontId="28" fillId="0" borderId="0" xfId="0" applyFont="1" applyAlignment="1">
      <alignment horizontal="left" vertical="top"/>
    </xf>
    <xf numFmtId="43" fontId="0" fillId="0" borderId="1" xfId="3" applyFont="1" applyBorder="1"/>
    <xf numFmtId="43" fontId="13" fillId="0" borderId="1" xfId="3" applyFont="1" applyBorder="1"/>
    <xf numFmtId="43" fontId="0" fillId="0" borderId="10" xfId="3" applyFont="1" applyBorder="1"/>
    <xf numFmtId="43" fontId="13" fillId="0" borderId="10" xfId="3" applyFont="1" applyBorder="1"/>
    <xf numFmtId="43" fontId="13" fillId="0" borderId="11" xfId="3" applyFont="1" applyBorder="1"/>
    <xf numFmtId="43" fontId="13" fillId="0" borderId="6" xfId="3" applyFont="1" applyBorder="1"/>
    <xf numFmtId="14" fontId="0" fillId="0" borderId="0" xfId="3" applyNumberFormat="1" applyFont="1" applyAlignment="1">
      <alignment horizontal="left" vertical="center" wrapText="1"/>
    </xf>
    <xf numFmtId="14" fontId="14" fillId="0" borderId="0" xfId="0" applyNumberFormat="1" applyFont="1" applyAlignment="1">
      <alignment vertical="center" wrapText="1"/>
    </xf>
    <xf numFmtId="14" fontId="19" fillId="0" borderId="9" xfId="1" applyNumberFormat="1" applyFont="1" applyFill="1" applyBorder="1" applyAlignment="1">
      <alignment horizontal="center" vertical="center" wrapText="1"/>
    </xf>
    <xf numFmtId="40" fontId="19" fillId="0" borderId="5" xfId="1" applyNumberFormat="1" applyFont="1" applyFill="1" applyBorder="1" applyAlignment="1">
      <alignment horizontal="center" vertical="center" wrapText="1"/>
    </xf>
    <xf numFmtId="40" fontId="19" fillId="0" borderId="15" xfId="1" applyNumberFormat="1" applyFont="1" applyFill="1" applyBorder="1" applyAlignment="1">
      <alignment horizontal="center" vertical="center" wrapText="1"/>
    </xf>
    <xf numFmtId="43" fontId="13" fillId="0" borderId="0" xfId="3" applyFont="1" applyBorder="1"/>
    <xf numFmtId="43" fontId="13" fillId="0" borderId="0" xfId="3" applyFont="1"/>
    <xf numFmtId="43" fontId="0" fillId="0" borderId="8" xfId="3" applyFont="1" applyBorder="1"/>
    <xf numFmtId="43" fontId="0" fillId="0" borderId="5" xfId="3" applyFont="1" applyBorder="1"/>
    <xf numFmtId="40" fontId="19" fillId="0" borderId="8" xfId="1" applyNumberFormat="1" applyFont="1" applyFill="1" applyBorder="1" applyAlignment="1">
      <alignment horizontal="center" vertical="center" wrapText="1"/>
    </xf>
    <xf numFmtId="40" fontId="27" fillId="0" borderId="0" xfId="0" applyNumberFormat="1" applyFont="1" applyBorder="1" applyAlignment="1">
      <alignment horizontal="left" vertical="top" wrapText="1"/>
    </xf>
    <xf numFmtId="14" fontId="26" fillId="0" borderId="0" xfId="0" applyNumberFormat="1" applyFont="1" applyBorder="1" applyAlignment="1">
      <alignment horizontal="right" vertical="top" wrapText="1"/>
    </xf>
    <xf numFmtId="40" fontId="20" fillId="0" borderId="0" xfId="0" applyNumberFormat="1" applyFont="1" applyBorder="1" applyAlignment="1">
      <alignment horizontal="center" vertical="center" wrapText="1"/>
    </xf>
    <xf numFmtId="40" fontId="26" fillId="0" borderId="5" xfId="0" applyNumberFormat="1" applyFont="1" applyBorder="1" applyAlignment="1">
      <alignment horizontal="right" vertical="top" wrapText="1"/>
    </xf>
    <xf numFmtId="40" fontId="26" fillId="0" borderId="1" xfId="0" applyNumberFormat="1" applyFont="1" applyBorder="1" applyAlignment="1">
      <alignment horizontal="right" vertical="top" wrapText="1"/>
    </xf>
    <xf numFmtId="14" fontId="20" fillId="0" borderId="2" xfId="0" applyNumberFormat="1" applyFont="1" applyBorder="1" applyAlignment="1">
      <alignment horizontal="left" vertical="top" wrapText="1"/>
    </xf>
    <xf numFmtId="14" fontId="20" fillId="0" borderId="2" xfId="0" applyNumberFormat="1" applyFont="1" applyFill="1" applyBorder="1" applyAlignment="1">
      <alignment horizontal="left" vertical="top" wrapText="1"/>
    </xf>
    <xf numFmtId="14" fontId="26" fillId="0" borderId="2" xfId="0" applyNumberFormat="1" applyFont="1" applyBorder="1" applyAlignment="1">
      <alignment horizontal="left" vertical="top" wrapText="1"/>
    </xf>
    <xf numFmtId="43" fontId="14" fillId="0" borderId="0" xfId="3" applyFont="1" applyAlignment="1">
      <alignment vertical="top" wrapText="1"/>
    </xf>
    <xf numFmtId="43" fontId="30" fillId="0" borderId="0" xfId="3" applyFont="1"/>
    <xf numFmtId="43" fontId="30" fillId="0" borderId="10" xfId="3" applyFont="1" applyBorder="1"/>
    <xf numFmtId="43" fontId="30" fillId="0" borderId="1" xfId="3" applyFont="1" applyBorder="1"/>
    <xf numFmtId="0" fontId="20" fillId="0" borderId="0" xfId="0" applyFont="1" applyBorder="1" applyAlignment="1">
      <alignment horizontal="center" vertical="center" wrapText="1"/>
    </xf>
    <xf numFmtId="0" fontId="14" fillId="0" borderId="0" xfId="0" applyFont="1" applyAlignment="1">
      <alignment horizontal="left" vertical="center"/>
    </xf>
    <xf numFmtId="14" fontId="22" fillId="0" borderId="0" xfId="0" applyNumberFormat="1" applyFont="1" applyBorder="1" applyAlignment="1">
      <alignment horizontal="right" vertical="top"/>
    </xf>
    <xf numFmtId="14" fontId="26" fillId="0" borderId="0" xfId="0" applyNumberFormat="1" applyFont="1" applyBorder="1" applyAlignment="1">
      <alignment horizontal="right" vertical="top"/>
    </xf>
    <xf numFmtId="40" fontId="20" fillId="0" borderId="1" xfId="0" applyNumberFormat="1" applyFont="1" applyBorder="1" applyAlignment="1">
      <alignment horizontal="right" vertical="top"/>
    </xf>
    <xf numFmtId="40" fontId="20" fillId="0" borderId="1" xfId="0" applyNumberFormat="1" applyFont="1" applyFill="1" applyBorder="1" applyAlignment="1">
      <alignment horizontal="right" vertical="top"/>
    </xf>
    <xf numFmtId="40" fontId="20" fillId="0" borderId="0" xfId="0" applyNumberFormat="1" applyFont="1" applyBorder="1" applyAlignment="1">
      <alignment vertical="top"/>
    </xf>
    <xf numFmtId="40" fontId="20" fillId="0" borderId="1" xfId="0" applyNumberFormat="1" applyFont="1" applyBorder="1" applyAlignment="1">
      <alignment vertical="top"/>
    </xf>
    <xf numFmtId="40" fontId="26" fillId="0" borderId="0" xfId="0" applyNumberFormat="1" applyFont="1" applyBorder="1" applyAlignment="1">
      <alignment vertical="top" wrapText="1"/>
    </xf>
    <xf numFmtId="14" fontId="26" fillId="2" borderId="6" xfId="0" applyNumberFormat="1" applyFont="1" applyFill="1" applyBorder="1" applyAlignment="1">
      <alignment horizontal="center" vertical="center" wrapText="1"/>
    </xf>
    <xf numFmtId="43" fontId="31" fillId="0" borderId="0" xfId="3" applyFont="1"/>
    <xf numFmtId="43" fontId="31" fillId="0" borderId="11" xfId="3" applyFont="1" applyBorder="1"/>
    <xf numFmtId="43" fontId="31" fillId="0" borderId="16" xfId="3" applyFont="1" applyBorder="1"/>
    <xf numFmtId="43" fontId="31" fillId="0" borderId="6" xfId="3" applyFont="1" applyBorder="1"/>
    <xf numFmtId="43" fontId="31" fillId="0" borderId="17" xfId="3" applyFont="1" applyBorder="1"/>
    <xf numFmtId="43" fontId="32" fillId="0" borderId="0" xfId="3" applyFont="1"/>
    <xf numFmtId="43" fontId="32" fillId="0" borderId="11" xfId="3" applyFont="1" applyBorder="1"/>
    <xf numFmtId="43" fontId="32" fillId="0" borderId="6" xfId="3" applyFont="1" applyBorder="1"/>
    <xf numFmtId="43" fontId="32" fillId="0" borderId="16" xfId="3" applyFont="1" applyBorder="1"/>
    <xf numFmtId="43" fontId="32" fillId="0" borderId="17" xfId="3" applyFont="1" applyBorder="1"/>
    <xf numFmtId="43" fontId="0" fillId="0" borderId="11" xfId="3" applyFont="1" applyBorder="1"/>
    <xf numFmtId="43" fontId="0" fillId="0" borderId="16" xfId="3" applyFont="1" applyBorder="1"/>
    <xf numFmtId="43" fontId="0" fillId="0" borderId="6" xfId="3" applyFont="1" applyBorder="1"/>
    <xf numFmtId="43" fontId="0" fillId="0" borderId="17" xfId="3" applyFont="1" applyBorder="1"/>
    <xf numFmtId="43" fontId="33" fillId="0" borderId="0" xfId="3" applyFont="1" applyBorder="1"/>
    <xf numFmtId="43" fontId="33" fillId="0" borderId="0" xfId="3" applyFont="1"/>
    <xf numFmtId="164" fontId="27" fillId="0" borderId="0" xfId="0" applyNumberFormat="1" applyFont="1" applyBorder="1" applyAlignment="1">
      <alignment horizontal="center" vertical="top" wrapText="1"/>
    </xf>
    <xf numFmtId="14" fontId="20" fillId="0" borderId="0" xfId="0" applyNumberFormat="1" applyFont="1" applyBorder="1" applyAlignment="1">
      <alignment horizontal="center" vertical="center" wrapText="1"/>
    </xf>
    <xf numFmtId="0" fontId="20" fillId="0" borderId="0" xfId="0" applyFont="1" applyBorder="1" applyAlignment="1">
      <alignment horizontal="center" vertical="top" wrapText="1"/>
    </xf>
    <xf numFmtId="40" fontId="27" fillId="0" borderId="0" xfId="0" applyNumberFormat="1" applyFont="1" applyBorder="1" applyAlignment="1">
      <alignment horizontal="center" vertical="top" wrapText="1"/>
    </xf>
    <xf numFmtId="40" fontId="19" fillId="2" borderId="18" xfId="1" applyNumberFormat="1" applyFont="1" applyFill="1" applyBorder="1" applyAlignment="1">
      <alignment horizontal="center" vertical="center" wrapText="1"/>
    </xf>
    <xf numFmtId="40" fontId="20" fillId="4" borderId="1" xfId="0" applyNumberFormat="1" applyFont="1" applyFill="1" applyBorder="1" applyAlignment="1">
      <alignment horizontal="right" vertical="top"/>
    </xf>
    <xf numFmtId="40" fontId="19" fillId="5" borderId="6" xfId="0" applyNumberFormat="1" applyFont="1" applyFill="1" applyBorder="1" applyAlignment="1">
      <alignment horizontal="center" vertical="center" wrapText="1"/>
    </xf>
    <xf numFmtId="40" fontId="20" fillId="0" borderId="3" xfId="0" applyNumberFormat="1" applyFont="1" applyBorder="1" applyAlignment="1">
      <alignment horizontal="right" vertical="top"/>
    </xf>
    <xf numFmtId="40" fontId="20" fillId="0" borderId="10" xfId="0" applyNumberFormat="1" applyFont="1" applyBorder="1" applyAlignment="1">
      <alignment horizontal="right" vertical="top"/>
    </xf>
    <xf numFmtId="40" fontId="20" fillId="0" borderId="3" xfId="0" applyNumberFormat="1" applyFont="1" applyFill="1" applyBorder="1" applyAlignment="1">
      <alignment horizontal="right" vertical="top"/>
    </xf>
    <xf numFmtId="40" fontId="20" fillId="0" borderId="10" xfId="0" applyNumberFormat="1" applyFont="1" applyFill="1" applyBorder="1" applyAlignment="1">
      <alignment horizontal="right" vertical="top"/>
    </xf>
    <xf numFmtId="40" fontId="20" fillId="0" borderId="4" xfId="0" applyNumberFormat="1" applyFont="1" applyFill="1" applyBorder="1" applyAlignment="1">
      <alignment horizontal="right" vertical="top"/>
    </xf>
    <xf numFmtId="40" fontId="20" fillId="0" borderId="1" xfId="0" applyNumberFormat="1" applyFont="1" applyFill="1" applyBorder="1" applyAlignment="1">
      <alignment vertical="top"/>
    </xf>
    <xf numFmtId="40" fontId="20" fillId="0" borderId="10" xfId="0" applyNumberFormat="1" applyFont="1" applyFill="1" applyBorder="1" applyAlignment="1">
      <alignment vertical="top"/>
    </xf>
    <xf numFmtId="40" fontId="26" fillId="0" borderId="1" xfId="0" applyNumberFormat="1" applyFont="1" applyFill="1" applyBorder="1" applyAlignment="1">
      <alignment horizontal="right" vertical="top"/>
    </xf>
    <xf numFmtId="40" fontId="26" fillId="0" borderId="4" xfId="0" applyNumberFormat="1" applyFont="1" applyFill="1" applyBorder="1" applyAlignment="1">
      <alignment horizontal="right" vertical="top"/>
    </xf>
    <xf numFmtId="40" fontId="26" fillId="0" borderId="10" xfId="0" applyNumberFormat="1" applyFont="1" applyFill="1" applyBorder="1" applyAlignment="1">
      <alignment horizontal="right" vertical="top"/>
    </xf>
    <xf numFmtId="43" fontId="34" fillId="0" borderId="0" xfId="3" applyFont="1"/>
    <xf numFmtId="43" fontId="35" fillId="0" borderId="0" xfId="3" applyFont="1" applyBorder="1"/>
    <xf numFmtId="43" fontId="35" fillId="0" borderId="0" xfId="3" applyFont="1"/>
    <xf numFmtId="14" fontId="20" fillId="0" borderId="0" xfId="0" applyNumberFormat="1" applyFont="1" applyAlignment="1">
      <alignment vertical="top" wrapText="1"/>
    </xf>
    <xf numFmtId="40" fontId="27" fillId="0" borderId="0" xfId="0" applyNumberFormat="1" applyFont="1" applyAlignment="1">
      <alignment horizontal="left" vertical="top" wrapText="1"/>
    </xf>
    <xf numFmtId="164" fontId="27" fillId="0" borderId="0" xfId="0" applyNumberFormat="1" applyFont="1" applyBorder="1" applyAlignment="1">
      <alignment horizontal="center" vertical="top"/>
    </xf>
    <xf numFmtId="164" fontId="27" fillId="0" borderId="0" xfId="0" applyNumberFormat="1" applyFont="1" applyAlignment="1">
      <alignment horizontal="center" vertical="top"/>
    </xf>
    <xf numFmtId="40" fontId="27" fillId="0" borderId="0" xfId="0" applyNumberFormat="1" applyFont="1" applyAlignment="1">
      <alignment horizontal="center" vertical="top" wrapText="1"/>
    </xf>
    <xf numFmtId="43" fontId="36" fillId="0" borderId="0" xfId="3" applyFont="1" applyBorder="1"/>
    <xf numFmtId="43" fontId="36" fillId="0" borderId="0" xfId="3" applyFont="1"/>
    <xf numFmtId="40" fontId="27" fillId="0" borderId="0" xfId="0" applyNumberFormat="1" applyFont="1" applyBorder="1" applyAlignment="1">
      <alignment vertical="top"/>
    </xf>
    <xf numFmtId="40" fontId="27" fillId="0" borderId="0" xfId="0" applyNumberFormat="1" applyFont="1" applyAlignment="1">
      <alignment vertical="top"/>
    </xf>
    <xf numFmtId="40" fontId="20" fillId="0" borderId="0" xfId="0" applyNumberFormat="1" applyFont="1" applyAlignment="1">
      <alignment vertical="top"/>
    </xf>
    <xf numFmtId="40" fontId="20" fillId="0" borderId="0" xfId="0" applyNumberFormat="1" applyFont="1" applyBorder="1" applyAlignment="1">
      <alignment vertical="center" wrapText="1"/>
    </xf>
    <xf numFmtId="40" fontId="20" fillId="0" borderId="5" xfId="0" applyNumberFormat="1" applyFont="1" applyBorder="1" applyAlignment="1">
      <alignment vertical="top"/>
    </xf>
    <xf numFmtId="40" fontId="26" fillId="0" borderId="19" xfId="0" applyNumberFormat="1" applyFont="1" applyFill="1" applyBorder="1" applyAlignment="1">
      <alignment horizontal="right" vertical="top"/>
    </xf>
    <xf numFmtId="40" fontId="20" fillId="0" borderId="3" xfId="0" applyNumberFormat="1" applyFont="1" applyFill="1" applyBorder="1" applyAlignment="1">
      <alignment vertical="top"/>
    </xf>
    <xf numFmtId="14" fontId="19" fillId="0" borderId="14" xfId="1" applyNumberFormat="1" applyFont="1" applyFill="1" applyBorder="1" applyAlignment="1">
      <alignment horizontal="center" vertical="center" wrapText="1"/>
    </xf>
    <xf numFmtId="43" fontId="37" fillId="0" borderId="0" xfId="3" applyFont="1"/>
    <xf numFmtId="40" fontId="27" fillId="0" borderId="0" xfId="0" applyNumberFormat="1" applyFont="1" applyBorder="1" applyAlignment="1">
      <alignment vertical="top" wrapText="1"/>
    </xf>
    <xf numFmtId="40" fontId="27" fillId="0" borderId="0" xfId="0" applyNumberFormat="1" applyFont="1" applyAlignment="1">
      <alignment vertical="top" wrapText="1"/>
    </xf>
    <xf numFmtId="40" fontId="20" fillId="0" borderId="0" xfId="0" applyNumberFormat="1" applyFont="1" applyBorder="1" applyAlignment="1">
      <alignment horizontal="center" vertical="top" wrapText="1"/>
    </xf>
    <xf numFmtId="0" fontId="38" fillId="0" borderId="0" xfId="0" applyFont="1" applyAlignment="1">
      <alignment vertical="top"/>
    </xf>
    <xf numFmtId="14" fontId="38" fillId="0" borderId="0" xfId="0" applyNumberFormat="1" applyFont="1" applyAlignment="1">
      <alignment vertical="top"/>
    </xf>
    <xf numFmtId="40" fontId="39" fillId="0" borderId="0" xfId="0" applyNumberFormat="1" applyFont="1" applyAlignment="1">
      <alignment vertical="top" wrapText="1"/>
    </xf>
    <xf numFmtId="40" fontId="39" fillId="0" borderId="0" xfId="0" applyNumberFormat="1" applyFont="1" applyAlignment="1">
      <alignment horizontal="left" vertical="top" wrapText="1"/>
    </xf>
    <xf numFmtId="40" fontId="39" fillId="0" borderId="0" xfId="0" applyNumberFormat="1" applyFont="1" applyAlignment="1">
      <alignment horizontal="center" vertical="top" wrapText="1"/>
    </xf>
    <xf numFmtId="164" fontId="39" fillId="0" borderId="0" xfId="0" applyNumberFormat="1" applyFont="1" applyAlignment="1">
      <alignment horizontal="center" vertical="top"/>
    </xf>
    <xf numFmtId="40" fontId="39" fillId="0" borderId="0" xfId="0" applyNumberFormat="1" applyFont="1" applyAlignment="1">
      <alignment vertical="top"/>
    </xf>
    <xf numFmtId="40" fontId="38" fillId="0" borderId="0" xfId="0" applyNumberFormat="1" applyFont="1" applyAlignment="1">
      <alignment vertical="top"/>
    </xf>
    <xf numFmtId="43" fontId="40" fillId="0" borderId="0" xfId="3" applyFont="1"/>
    <xf numFmtId="40" fontId="23" fillId="0" borderId="12" xfId="0" applyNumberFormat="1" applyFont="1" applyBorder="1" applyAlignment="1">
      <alignment horizontal="center" vertical="top" wrapText="1"/>
    </xf>
    <xf numFmtId="0" fontId="5" fillId="0" borderId="0" xfId="0" applyFont="1" applyAlignment="1">
      <alignment horizontal="left" vertical="top" wrapText="1"/>
    </xf>
    <xf numFmtId="0" fontId="28" fillId="0" borderId="0" xfId="0" applyFont="1" applyAlignment="1">
      <alignment horizontal="left" vertical="top" wrapText="1"/>
    </xf>
    <xf numFmtId="0" fontId="14" fillId="0" borderId="0" xfId="0" applyFont="1" applyAlignment="1">
      <alignment horizontal="left" vertical="top" wrapText="1"/>
    </xf>
    <xf numFmtId="0" fontId="16" fillId="0" borderId="0" xfId="0" applyFont="1" applyAlignment="1">
      <alignment horizontal="left" vertical="top" wrapText="1"/>
    </xf>
    <xf numFmtId="14" fontId="16" fillId="0" borderId="7" xfId="0" applyNumberFormat="1" applyFont="1" applyBorder="1" applyAlignment="1">
      <alignment horizontal="center" vertical="top" wrapText="1"/>
    </xf>
    <xf numFmtId="14" fontId="16" fillId="0" borderId="13" xfId="0" applyNumberFormat="1" applyFont="1" applyBorder="1" applyAlignment="1">
      <alignment horizontal="center" vertical="top" wrapText="1"/>
    </xf>
    <xf numFmtId="14" fontId="16" fillId="0" borderId="11" xfId="0" applyNumberFormat="1" applyFont="1" applyBorder="1" applyAlignment="1">
      <alignment horizontal="center" vertical="top" wrapText="1"/>
    </xf>
    <xf numFmtId="40" fontId="29" fillId="5" borderId="20" xfId="1" applyNumberFormat="1" applyFont="1" applyFill="1" applyBorder="1" applyAlignment="1">
      <alignment horizontal="center" vertical="center" wrapText="1"/>
    </xf>
    <xf numFmtId="40" fontId="29" fillId="5" borderId="21" xfId="1" applyNumberFormat="1" applyFont="1" applyFill="1" applyBorder="1" applyAlignment="1">
      <alignment horizontal="center" vertical="center" wrapText="1"/>
    </xf>
    <xf numFmtId="40" fontId="29" fillId="5" borderId="22" xfId="1" applyNumberFormat="1" applyFont="1" applyFill="1" applyBorder="1" applyAlignment="1">
      <alignment horizontal="center" vertical="center" wrapText="1"/>
    </xf>
    <xf numFmtId="40" fontId="16" fillId="0" borderId="0" xfId="0" applyNumberFormat="1" applyFont="1" applyBorder="1" applyAlignment="1">
      <alignment horizontal="center" vertical="center" wrapText="1"/>
    </xf>
    <xf numFmtId="43" fontId="5" fillId="0" borderId="0" xfId="3" applyFont="1" applyAlignment="1">
      <alignment horizontal="left" vertical="top" wrapText="1"/>
    </xf>
    <xf numFmtId="43" fontId="2" fillId="0" borderId="0" xfId="3" applyFont="1" applyAlignment="1">
      <alignment horizontal="left" vertical="top" wrapText="1"/>
    </xf>
    <xf numFmtId="43" fontId="4" fillId="0" borderId="0" xfId="3" applyFont="1" applyAlignment="1">
      <alignment horizontal="left" vertical="top" wrapText="1"/>
    </xf>
    <xf numFmtId="43" fontId="4" fillId="0" borderId="0" xfId="3" applyFont="1" applyBorder="1" applyAlignment="1">
      <alignment horizontal="left" vertical="top" wrapText="1"/>
    </xf>
    <xf numFmtId="43" fontId="3" fillId="0" borderId="0" xfId="3" applyFont="1" applyAlignment="1">
      <alignment horizontal="left" vertical="top" wrapText="1"/>
    </xf>
    <xf numFmtId="0" fontId="9" fillId="3" borderId="0" xfId="2" applyFont="1" applyFill="1" applyBorder="1" applyAlignment="1">
      <alignment horizontal="left" vertical="top" wrapText="1"/>
    </xf>
    <xf numFmtId="0" fontId="9" fillId="0" borderId="0" xfId="2" applyFont="1" applyFill="1" applyBorder="1" applyAlignment="1">
      <alignment horizontal="left" vertical="top" wrapText="1"/>
    </xf>
    <xf numFmtId="0" fontId="0" fillId="0" borderId="0" xfId="0" applyAlignment="1">
      <alignment horizontal="left" vertical="top" wrapText="1"/>
    </xf>
    <xf numFmtId="0" fontId="2" fillId="0" borderId="0" xfId="0" applyFont="1" applyAlignment="1">
      <alignment horizontal="left" vertical="top"/>
    </xf>
    <xf numFmtId="0" fontId="0" fillId="0" borderId="0" xfId="0" applyFill="1" applyAlignment="1">
      <alignment horizontal="left" vertical="top" wrapText="1"/>
    </xf>
    <xf numFmtId="0" fontId="0" fillId="3" borderId="0" xfId="0" applyFill="1" applyAlignment="1">
      <alignment horizontal="left" vertical="top" wrapText="1"/>
    </xf>
    <xf numFmtId="0" fontId="2" fillId="0" borderId="0" xfId="0" applyFont="1" applyAlignment="1">
      <alignment horizontal="left" vertical="top" wrapText="1"/>
    </xf>
    <xf numFmtId="0" fontId="0" fillId="0" borderId="0" xfId="0" applyBorder="1" applyAlignment="1">
      <alignment horizontal="left" vertical="top" wrapText="1"/>
    </xf>
    <xf numFmtId="0" fontId="0" fillId="0" borderId="0" xfId="0" applyAlignment="1">
      <alignment horizontal="left" vertical="top"/>
    </xf>
    <xf numFmtId="0" fontId="6" fillId="0" borderId="0" xfId="0" applyFont="1" applyAlignment="1">
      <alignment horizontal="left" vertical="top" wrapText="1"/>
    </xf>
  </cellXfs>
  <cellStyles count="4">
    <cellStyle name="Comma" xfId="3" builtinId="3"/>
    <cellStyle name="Currency" xfId="1" builtinId="4"/>
    <cellStyle name="Normal" xfId="0" builtinId="0"/>
    <cellStyle name="Normal_Notes" xfId="2"/>
  </cellStyles>
  <dxfs count="120">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9"/>
        <color auto="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9"/>
        <color auto="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9"/>
        <color auto="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9"/>
        <color auto="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9"/>
        <color auto="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9"/>
        <color auto="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9"/>
        <color auto="1"/>
        <name val="Arial Unicode MS"/>
        <scheme val="none"/>
      </font>
      <numFmt numFmtId="164" formatCode="mm/dd/yy;@"/>
      <alignment horizontal="center" vertical="top" textRotation="0" wrapText="0" indent="0" justifyLastLine="0" shrinkToFit="0" readingOrder="0"/>
    </dxf>
    <dxf>
      <font>
        <b val="0"/>
        <i val="0"/>
        <strike val="0"/>
        <condense val="0"/>
        <extend val="0"/>
        <outline val="0"/>
        <shadow val="0"/>
        <u val="none"/>
        <vertAlign val="baseline"/>
        <sz val="9"/>
        <color auto="1"/>
        <name val="Arial Unicode MS"/>
        <scheme val="none"/>
      </font>
      <numFmt numFmtId="164" formatCode="mm/dd/yy;@"/>
      <alignment horizontal="center" vertical="top" textRotation="0" wrapText="0" indent="0" justifyLastLine="0" shrinkToFit="0" readingOrder="0"/>
    </dxf>
    <dxf>
      <font>
        <b val="0"/>
        <i val="0"/>
        <strike val="0"/>
        <condense val="0"/>
        <extend val="0"/>
        <outline val="0"/>
        <shadow val="0"/>
        <u val="none"/>
        <vertAlign val="baseline"/>
        <sz val="9"/>
        <color auto="1"/>
        <name val="Arial Unicode MS"/>
        <scheme val="none"/>
      </font>
      <numFmt numFmtId="164" formatCode="mm/dd/yy;@"/>
      <alignment horizontal="center" vertical="top" textRotation="0" wrapText="0" indent="0" justifyLastLine="0" shrinkToFit="0" readingOrder="0"/>
    </dxf>
    <dxf>
      <font>
        <b val="0"/>
        <i val="0"/>
        <strike val="0"/>
        <condense val="0"/>
        <extend val="0"/>
        <outline val="0"/>
        <shadow val="0"/>
        <u val="none"/>
        <vertAlign val="baseline"/>
        <sz val="9"/>
        <color auto="1"/>
        <name val="Arial Unicode MS"/>
        <scheme val="none"/>
      </font>
      <numFmt numFmtId="164" formatCode="mm/dd/yy;@"/>
      <alignment horizontal="center" vertical="top" textRotation="0" wrapText="0" indent="0" justifyLastLine="0" shrinkToFit="0" readingOrder="0"/>
    </dxf>
    <dxf>
      <font>
        <b val="0"/>
        <i val="0"/>
        <strike val="0"/>
        <condense val="0"/>
        <extend val="0"/>
        <outline val="0"/>
        <shadow val="0"/>
        <u val="none"/>
        <vertAlign val="baseline"/>
        <sz val="9"/>
        <color auto="1"/>
        <name val="Arial Unicode MS"/>
        <scheme val="none"/>
      </font>
      <numFmt numFmtId="8" formatCode="#,##0.00_);[Red]\(#,##0.00\)"/>
      <alignment horizontal="center" vertical="top" textRotation="0" wrapText="1" indent="0" justifyLastLine="0" shrinkToFit="0" readingOrder="0"/>
    </dxf>
    <dxf>
      <font>
        <b val="0"/>
        <i val="0"/>
        <strike val="0"/>
        <condense val="0"/>
        <extend val="0"/>
        <outline val="0"/>
        <shadow val="0"/>
        <u val="none"/>
        <vertAlign val="baseline"/>
        <sz val="9"/>
        <color auto="1"/>
        <name val="Arial Unicode MS"/>
        <scheme val="none"/>
      </font>
      <numFmt numFmtId="8" formatCode="#,##0.00_);[Red]\(#,##0.00\)"/>
      <alignment horizontal="left" vertical="top" textRotation="0" wrapText="1" indent="0" justifyLastLine="0" shrinkToFit="0" readingOrder="0"/>
    </dxf>
    <dxf>
      <font>
        <b val="0"/>
        <i val="0"/>
        <strike val="0"/>
        <condense val="0"/>
        <extend val="0"/>
        <outline val="0"/>
        <shadow val="0"/>
        <u val="none"/>
        <vertAlign val="baseline"/>
        <sz val="9"/>
        <color auto="1"/>
        <name val="Arial Unicode MS"/>
        <scheme val="none"/>
      </font>
      <numFmt numFmtId="8" formatCode="#,##0.00_);[Red]\(#,##0.00\)"/>
      <alignment horizontal="left" vertical="top" textRotation="0" wrapText="1" indent="0" justifyLastLine="0" shrinkToFit="0" readingOrder="0"/>
    </dxf>
    <dxf>
      <font>
        <b val="0"/>
        <i val="0"/>
        <strike val="0"/>
        <condense val="0"/>
        <extend val="0"/>
        <outline val="0"/>
        <shadow val="0"/>
        <u val="none"/>
        <vertAlign val="baseline"/>
        <sz val="9"/>
        <color auto="1"/>
        <name val="Arial Unicode MS"/>
        <scheme val="none"/>
      </font>
      <numFmt numFmtId="8" formatCode="#,##0.00_);[Red]\(#,##0.00\)"/>
      <alignment horizontal="left" vertical="top" textRotation="0" wrapText="1" indent="0" justifyLastLine="0" shrinkToFit="0" readingOrder="0"/>
    </dxf>
    <dxf>
      <font>
        <b val="0"/>
        <i val="0"/>
        <strike val="0"/>
        <condense val="0"/>
        <extend val="0"/>
        <outline val="0"/>
        <shadow val="0"/>
        <u val="none"/>
        <vertAlign val="baseline"/>
        <sz val="9"/>
        <color auto="1"/>
        <name val="Arial Unicode MS"/>
        <scheme val="none"/>
      </font>
      <numFmt numFmtId="8" formatCode="#,##0.00_);[Red]\(#,##0.00\)"/>
      <alignment horizontal="general" vertical="top" textRotation="0" wrapText="1" indent="0" justifyLastLine="0" shrinkToFit="0" readingOrder="0"/>
    </dxf>
    <dxf>
      <font>
        <b val="0"/>
        <i val="0"/>
        <strike val="0"/>
        <condense val="0"/>
        <extend val="0"/>
        <outline val="0"/>
        <shadow val="0"/>
        <u val="none"/>
        <vertAlign val="baseline"/>
        <sz val="9"/>
        <color theme="1"/>
        <name val="Arial Unicode MS"/>
        <scheme val="none"/>
      </font>
      <alignment horizontal="general" vertical="top" textRotation="0" wrapText="0" indent="0" justifyLastLine="0" shrinkToFit="0" readingOrder="0"/>
    </dxf>
    <dxf>
      <font>
        <b val="0"/>
        <i val="0"/>
        <strike val="0"/>
        <condense val="0"/>
        <extend val="0"/>
        <outline val="0"/>
        <shadow val="0"/>
        <u val="none"/>
        <vertAlign val="baseline"/>
        <sz val="9"/>
        <color theme="1"/>
        <name val="Arial Unicode MS"/>
        <scheme val="none"/>
      </font>
      <alignment horizontal="general" vertical="top" textRotation="0" wrapText="0" indent="0" justifyLastLine="0" shrinkToFit="0" readingOrder="0"/>
    </dxf>
    <dxf>
      <font>
        <b val="0"/>
        <i val="0"/>
        <strike val="0"/>
        <condense val="0"/>
        <extend val="0"/>
        <outline val="0"/>
        <shadow val="0"/>
        <u val="none"/>
        <vertAlign val="baseline"/>
        <sz val="9"/>
        <color theme="1"/>
        <name val="Arial Unicode MS"/>
        <scheme val="none"/>
      </font>
      <alignment horizontal="general" vertical="top" textRotation="0" wrapText="0" indent="0" justifyLastLine="0" shrinkToFit="0" readingOrder="0"/>
    </dxf>
    <dxf>
      <font>
        <b val="0"/>
        <i val="0"/>
        <strike val="0"/>
        <condense val="0"/>
        <extend val="0"/>
        <outline val="0"/>
        <shadow val="0"/>
        <u val="none"/>
        <vertAlign val="baseline"/>
        <sz val="9"/>
        <color theme="1"/>
        <name val="Arial Unicode MS"/>
        <scheme val="none"/>
      </font>
      <alignment horizontal="general" vertical="top" textRotation="0" wrapText="0" indent="0" justifyLastLine="0" shrinkToFit="0" readingOrder="0"/>
    </dxf>
    <dxf>
      <border outline="0">
        <right style="thin">
          <color indexed="64"/>
        </right>
      </border>
    </dxf>
    <dxf>
      <font>
        <b val="0"/>
        <i val="0"/>
        <strike val="0"/>
        <condense val="0"/>
        <extend val="0"/>
        <outline val="0"/>
        <shadow val="0"/>
        <u val="none"/>
        <vertAlign val="baseline"/>
        <sz val="9"/>
        <color theme="1"/>
        <name val="Arial Unicode MS"/>
        <scheme val="none"/>
      </font>
      <alignment horizontal="center" vertical="bottom"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165" formatCode="mm/dd/yyyy"/>
      <alignment horizontal="center" vertical="center" textRotation="0" wrapText="1" indent="0" justifyLastLine="0" shrinkToFit="0" readingOrder="0"/>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9"/>
        <color auto="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9"/>
        <color auto="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9"/>
        <color auto="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9"/>
        <color auto="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9"/>
        <color auto="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9"/>
        <color auto="1"/>
        <name val="Arial Unicode MS"/>
        <scheme val="none"/>
      </font>
      <numFmt numFmtId="164" formatCode="mm/dd/yy;@"/>
      <alignment horizontal="center" vertical="top" textRotation="0" wrapText="1" indent="0" justifyLastLine="0" shrinkToFit="0" readingOrder="0"/>
    </dxf>
    <dxf>
      <font>
        <b val="0"/>
        <i val="0"/>
        <strike val="0"/>
        <condense val="0"/>
        <extend val="0"/>
        <outline val="0"/>
        <shadow val="0"/>
        <u val="none"/>
        <vertAlign val="baseline"/>
        <sz val="9"/>
        <color auto="1"/>
        <name val="Arial Unicode MS"/>
        <scheme val="none"/>
      </font>
      <numFmt numFmtId="164" formatCode="mm/dd/yy;@"/>
      <alignment horizontal="center" vertical="top" textRotation="0" wrapText="1" indent="0" justifyLastLine="0" shrinkToFit="0" readingOrder="0"/>
    </dxf>
    <dxf>
      <font>
        <b val="0"/>
        <i val="0"/>
        <strike val="0"/>
        <condense val="0"/>
        <extend val="0"/>
        <outline val="0"/>
        <shadow val="0"/>
        <u val="none"/>
        <vertAlign val="baseline"/>
        <sz val="9"/>
        <color auto="1"/>
        <name val="Arial Unicode MS"/>
        <scheme val="none"/>
      </font>
      <numFmt numFmtId="164" formatCode="mm/dd/yy;@"/>
      <alignment horizontal="center" vertical="top" textRotation="0" wrapText="1" indent="0" justifyLastLine="0" shrinkToFit="0" readingOrder="0"/>
    </dxf>
    <dxf>
      <font>
        <b val="0"/>
        <i val="0"/>
        <strike val="0"/>
        <condense val="0"/>
        <extend val="0"/>
        <outline val="0"/>
        <shadow val="0"/>
        <u val="none"/>
        <vertAlign val="baseline"/>
        <sz val="9"/>
        <color auto="1"/>
        <name val="Arial Unicode MS"/>
        <scheme val="none"/>
      </font>
      <numFmt numFmtId="164" formatCode="mm/dd/yy;@"/>
      <alignment horizontal="center" vertical="top" textRotation="0" wrapText="1" indent="0" justifyLastLine="0" shrinkToFit="0" readingOrder="0"/>
    </dxf>
    <dxf>
      <font>
        <b val="0"/>
        <i val="0"/>
        <strike val="0"/>
        <condense val="0"/>
        <extend val="0"/>
        <outline val="0"/>
        <shadow val="0"/>
        <u val="none"/>
        <vertAlign val="baseline"/>
        <sz val="9"/>
        <color auto="1"/>
        <name val="Arial Unicode MS"/>
        <scheme val="none"/>
      </font>
      <numFmt numFmtId="8" formatCode="#,##0.00_);[Red]\(#,##0.00\)"/>
      <alignment horizontal="center" vertical="top" textRotation="0" wrapText="1" indent="0" justifyLastLine="0" shrinkToFit="0" readingOrder="0"/>
    </dxf>
    <dxf>
      <font>
        <b val="0"/>
        <i val="0"/>
        <strike val="0"/>
        <condense val="0"/>
        <extend val="0"/>
        <outline val="0"/>
        <shadow val="0"/>
        <u val="none"/>
        <vertAlign val="baseline"/>
        <sz val="9"/>
        <color auto="1"/>
        <name val="Arial Unicode MS"/>
        <scheme val="none"/>
      </font>
      <numFmt numFmtId="8" formatCode="#,##0.00_);[Red]\(#,##0.00\)"/>
      <alignment horizontal="center" vertical="top" textRotation="0" wrapText="1" indent="0" justifyLastLine="0" shrinkToFit="0" readingOrder="0"/>
    </dxf>
    <dxf>
      <font>
        <b val="0"/>
        <i val="0"/>
        <strike val="0"/>
        <condense val="0"/>
        <extend val="0"/>
        <outline val="0"/>
        <shadow val="0"/>
        <u val="none"/>
        <vertAlign val="baseline"/>
        <sz val="9"/>
        <color auto="1"/>
        <name val="Arial Unicode MS"/>
        <scheme val="none"/>
      </font>
      <numFmt numFmtId="8" formatCode="#,##0.00_);[Red]\(#,##0.00\)"/>
      <alignment horizontal="center" vertical="top" textRotation="0" wrapText="1"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center" vertical="top" textRotation="0" wrapText="1" indent="0" justifyLastLine="0" shrinkToFit="0" readingOrder="0"/>
    </dxf>
    <dxf>
      <font>
        <b val="0"/>
        <i val="0"/>
        <strike val="0"/>
        <condense val="0"/>
        <extend val="0"/>
        <outline val="0"/>
        <shadow val="0"/>
        <u val="none"/>
        <vertAlign val="baseline"/>
        <sz val="9"/>
        <color auto="1"/>
        <name val="Arial Unicode MS"/>
        <scheme val="none"/>
      </font>
      <numFmt numFmtId="8" formatCode="#,##0.00_);[Red]\(#,##0.00\)"/>
      <alignment horizontal="left" vertical="top" textRotation="0" wrapText="1"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1"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1"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1"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1" indent="0" justifyLastLine="0" shrinkToFit="0" readingOrder="0"/>
    </dxf>
    <dxf>
      <border diagonalUp="0" diagonalDown="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border>
        <top style="thin">
          <color indexed="64"/>
        </top>
      </border>
    </dxf>
    <dxf>
      <border diagonalUp="0" diagonalDown="0">
        <left style="medium">
          <color indexed="64"/>
        </left>
        <right style="medium">
          <color indexed="64"/>
        </right>
        <top style="medium">
          <color indexed="64"/>
        </top>
        <bottom style="medium">
          <color indexed="64"/>
        </bottom>
      </border>
    </dxf>
    <dxf>
      <border>
        <bottom style="thin">
          <color indexed="64"/>
        </bottom>
      </border>
    </dxf>
    <dxf>
      <border diagonalUp="0" diagonalDown="0">
        <left style="thin">
          <color indexed="64"/>
        </left>
        <right style="thin">
          <color indexed="64"/>
        </right>
        <top/>
        <bottom/>
        <vertical style="thin">
          <color indexed="64"/>
        </vertical>
        <horizontal style="thin">
          <color indexed="64"/>
        </horizontal>
      </border>
    </dxf>
    <dxf>
      <font>
        <b val="0"/>
        <i val="0"/>
        <strike val="0"/>
        <condense val="0"/>
        <extend val="0"/>
        <outline val="0"/>
        <shadow val="0"/>
        <u val="none"/>
        <vertAlign val="baseline"/>
        <sz val="9"/>
        <color theme="1"/>
        <name val="Arial Unicode MS"/>
        <scheme val="none"/>
      </font>
      <alignment horizontal="general" vertical="top" textRotation="0" wrapText="1"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center" vertical="center" textRotation="0" wrapText="1" indent="0" justifyLastLine="0" shrinkToFit="0" readingOrder="0"/>
    </dxf>
    <dxf>
      <font>
        <strike val="0"/>
        <outline val="0"/>
        <shadow val="0"/>
        <u val="none"/>
        <vertAlign val="baseline"/>
        <sz val="9"/>
        <name val="Arial Unicode MS"/>
        <scheme val="none"/>
      </font>
      <alignment vertical="top" textRotation="0" wrapText="0" indent="0" justifyLastLine="0" shrinkToFit="0" readingOrder="0"/>
    </dxf>
    <dxf>
      <font>
        <strike val="0"/>
        <outline val="0"/>
        <shadow val="0"/>
        <u val="none"/>
        <vertAlign val="baseline"/>
        <sz val="9"/>
        <name val="Arial Unicode MS"/>
        <scheme val="none"/>
      </font>
      <numFmt numFmtId="8" formatCode="#,##0.00_);[Red]\(#,##0.00\)"/>
      <alignment vertical="top" textRotation="0" wrapText="0" indent="0" justifyLastLine="0" shrinkToFit="0" readingOrder="0"/>
      <border diagonalUp="0" diagonalDown="0" outline="0">
        <left/>
        <right style="medium">
          <color indexed="64"/>
        </right>
        <top/>
        <bottom/>
      </border>
    </dxf>
    <dxf>
      <font>
        <strike val="0"/>
        <outline val="0"/>
        <shadow val="0"/>
        <u val="none"/>
        <vertAlign val="baseline"/>
        <sz val="9"/>
        <name val="Arial Unicode MS"/>
        <scheme val="none"/>
      </font>
      <numFmt numFmtId="8" formatCode="#,##0.00_);[Red]\(#,##0.00\)"/>
      <alignment vertical="top"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fill>
        <patternFill patternType="none">
          <fgColor indexed="64"/>
          <bgColor indexed="65"/>
        </patternFill>
      </fill>
      <alignment horizontal="general" vertical="top" textRotation="0" wrapText="0" indent="0" justifyLastLine="0" shrinkToFit="0" readingOrder="0"/>
    </dxf>
    <dxf>
      <font>
        <strike val="0"/>
        <outline val="0"/>
        <shadow val="0"/>
        <u val="none"/>
        <vertAlign val="baseline"/>
        <sz val="9"/>
        <name val="Arial Unicode MS"/>
        <scheme val="none"/>
      </font>
      <numFmt numFmtId="8" formatCode="#,##0.00_);[Red]\(#,##0.00\)"/>
      <alignment vertical="top"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fill>
        <patternFill patternType="none">
          <fgColor indexed="64"/>
          <bgColor indexed="65"/>
        </patternFill>
      </fill>
      <alignment horizontal="general" vertical="top" textRotation="0" wrapText="0" indent="0" justifyLastLine="0" shrinkToFit="0" readingOrder="0"/>
    </dxf>
    <dxf>
      <font>
        <strike val="0"/>
        <outline val="0"/>
        <shadow val="0"/>
        <u val="none"/>
        <vertAlign val="baseline"/>
        <sz val="9"/>
        <name val="Arial Unicode MS"/>
        <scheme val="none"/>
      </font>
      <numFmt numFmtId="8" formatCode="#,##0.00_);[Red]\(#,##0.00\)"/>
      <alignment vertical="top" textRotation="0" wrapText="0" indent="0" justifyLastLine="0" shrinkToFit="0" readingOrder="0"/>
      <border diagonalUp="0" diagonalDown="0" outline="0">
        <left style="medium">
          <color indexed="64"/>
        </left>
        <right/>
        <top/>
        <bottom/>
      </border>
    </dxf>
    <dxf>
      <font>
        <b val="0"/>
        <i val="0"/>
        <strike val="0"/>
        <condense val="0"/>
        <extend val="0"/>
        <outline val="0"/>
        <shadow val="0"/>
        <u val="none"/>
        <vertAlign val="baseline"/>
        <sz val="9"/>
        <color theme="1"/>
        <name val="Arial Unicode MS"/>
        <scheme val="none"/>
      </font>
      <numFmt numFmtId="19" formatCode="m/d/yyyy"/>
      <fill>
        <patternFill patternType="none">
          <fgColor indexed="64"/>
          <bgColor indexed="65"/>
        </patternFill>
      </fill>
      <alignment horizontal="left" vertical="top" textRotation="0" wrapText="1" indent="0" justifyLastLine="0" shrinkToFit="0" readingOrder="0"/>
      <border diagonalUp="0" diagonalDown="0">
        <left style="medium">
          <color indexed="64"/>
        </left>
        <right style="thin">
          <color indexed="64"/>
        </right>
        <top style="thin">
          <color indexed="64"/>
        </top>
        <bottom style="thin">
          <color indexed="64"/>
        </bottom>
        <vertical/>
        <horizontal style="thin">
          <color indexed="64"/>
        </horizontal>
      </border>
    </dxf>
    <dxf>
      <font>
        <strike val="0"/>
        <outline val="0"/>
        <shadow val="0"/>
        <u val="none"/>
        <vertAlign val="baseline"/>
        <sz val="9"/>
        <name val="Arial Unicode MS"/>
        <scheme val="none"/>
      </font>
      <numFmt numFmtId="165" formatCode="mm/dd/yyyy"/>
      <alignment horizontal="left" vertical="top" textRotation="0" wrapText="1" indent="0" justifyLastLine="0" shrinkToFit="0" readingOrder="0"/>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9"/>
        <name val="Arial Unicode MS"/>
        <scheme val="none"/>
      </font>
      <numFmt numFmtId="8" formatCode="#,##0.00_);[Red]\(#,##0.00\)"/>
    </dxf>
    <dxf>
      <border>
        <bottom style="thin">
          <color indexed="64"/>
        </bottom>
      </border>
    </dxf>
    <dxf>
      <font>
        <b/>
        <i val="0"/>
        <strike val="0"/>
        <condense val="0"/>
        <extend val="0"/>
        <outline val="0"/>
        <shadow val="0"/>
        <u val="none"/>
        <vertAlign val="baseline"/>
        <sz val="9"/>
        <color auto="1"/>
        <name val="Arial Unicode MS"/>
        <scheme val="none"/>
      </font>
      <numFmt numFmtId="8" formatCode="#,##0.00_);[Red]\(#,##0.00\)"/>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bottom/>
      </border>
    </dxf>
    <dxf>
      <fill>
        <patternFill>
          <bgColor theme="4" tint="0.39994506668294322"/>
        </patternFill>
      </fill>
    </dxf>
    <dxf>
      <font>
        <b/>
        <i val="0"/>
      </font>
    </dxf>
    <dxf>
      <border>
        <left style="thin">
          <color auto="1"/>
        </left>
        <right style="thin">
          <color auto="1"/>
        </right>
        <top style="thin">
          <color auto="1"/>
        </top>
        <bottom style="thin">
          <color auto="1"/>
        </bottom>
        <vertical style="thin">
          <color auto="1"/>
        </vertical>
        <horizontal style="thin">
          <color auto="1"/>
        </horizontal>
      </border>
    </dxf>
    <dxf>
      <fill>
        <patternFill>
          <bgColor rgb="FFA2B9E2"/>
        </patternFill>
      </fill>
    </dxf>
    <dxf>
      <fill>
        <patternFill>
          <bgColor rgb="FFF4AF80"/>
        </patternFill>
      </fill>
    </dxf>
    <dxf>
      <fill>
        <patternFill>
          <bgColor rgb="FFCFB855"/>
        </patternFill>
      </fill>
    </dxf>
    <dxf>
      <border>
        <left style="thin">
          <color auto="1"/>
        </left>
        <right style="thin">
          <color auto="1"/>
        </right>
        <top style="thin">
          <color auto="1"/>
        </top>
        <bottom style="thin">
          <color auto="1"/>
        </bottom>
        <vertical style="thin">
          <color auto="1"/>
        </vertical>
        <horizontal style="thin">
          <color auto="1"/>
        </horizontal>
      </border>
    </dxf>
  </dxfs>
  <tableStyles count="4" defaultTableStyle="TableStyleMedium2" defaultPivotStyle="PivotStyleLight16">
    <tableStyle name="Table Style 1" pivot="0" count="2">
      <tableStyleElement type="wholeTable" dxfId="119"/>
      <tableStyleElement type="firstRowStripe" dxfId="118"/>
    </tableStyle>
    <tableStyle name="Table Style 2" pivot="0" count="1">
      <tableStyleElement type="firstRowStripe" dxfId="117"/>
    </tableStyle>
    <tableStyle name="Table Style 3" pivot="0" count="1">
      <tableStyleElement type="firstRowStripe" dxfId="116"/>
    </tableStyle>
    <tableStyle name="Table Style 4" pivot="0" count="3">
      <tableStyleElement type="wholeTable" dxfId="115"/>
      <tableStyleElement type="headerRow" dxfId="114"/>
      <tableStyleElement type="firstRowStripe" dxfId="113"/>
    </tableStyle>
  </tableStyles>
  <colors>
    <mruColors>
      <color rgb="FFCC99FF"/>
      <color rgb="FF9999FF"/>
      <color rgb="FFFABF8F"/>
      <color rgb="FFF2DCDB"/>
      <color rgb="FFACEAAC"/>
      <color rgb="FFC9FFF5"/>
      <color rgb="FFFFCCFF"/>
      <color rgb="FFDDD9C4"/>
      <color rgb="FFA2B9E2"/>
      <color rgb="FFF4AF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connections" Target="connections.xml"/><Relationship Id="rId4" Type="http://schemas.openxmlformats.org/officeDocument/2006/relationships/theme" Target="theme/theme1.xml"/></Relationships>
</file>

<file path=xl/queryTables/queryTable1.xml><?xml version="1.0" encoding="utf-8"?>
<queryTable xmlns="http://schemas.openxmlformats.org/spreadsheetml/2006/main" name="Query from MS Access Database" adjustColumnWidth="0" connectionId="1" autoFormatId="16" applyNumberFormats="0" applyBorderFormats="0" applyFontFormats="0" applyPatternFormats="0" applyAlignmentFormats="0" applyWidthHeightFormats="0">
  <queryTableRefresh nextId="24" unboundColumnsRight="2">
    <queryTableFields count="22">
      <queryTableField id="1" name="ADOT#" tableColumnId="23"/>
      <queryTableField id="2" name="TIP#" tableColumnId="24"/>
      <queryTableField id="3" name="Sponsor" tableColumnId="25"/>
      <queryTableField id="4" name="Action/15" tableColumnId="26"/>
      <queryTableField id="5" name="Location" tableColumnId="27"/>
      <queryTableField id="6" name="RTE" tableColumnId="28"/>
      <queryTableField id="7" name="SEC" tableColumnId="29"/>
      <queryTableField id="8" name="SEQ" tableColumnId="30"/>
      <queryTableField id="23" dataBound="0" tableColumnId="45"/>
      <queryTableField id="9" name="PB Expected" tableColumnId="31"/>
      <queryTableField id="10" name="PB Received" tableColumnId="32"/>
      <queryTableField id="11" name="PF Transmitted" tableColumnId="33"/>
      <queryTableField id="12" name="Finance Authorization" tableColumnId="34"/>
      <queryTableField id="13" name="HURF EX" tableColumnId="35"/>
      <queryTableField id="14" name="HSIP" tableColumnId="36"/>
      <queryTableField id="15" name="PL" tableColumnId="37"/>
      <queryTableField id="16" name="SPR" tableColumnId="38"/>
      <queryTableField id="17" name="STP &lt;5" tableColumnId="39"/>
      <queryTableField id="18" name="STP 5-200" tableColumnId="40"/>
      <queryTableField id="19" name="STP OTHER" tableColumnId="41"/>
      <queryTableField id="21" dataBound="0" tableColumnId="43"/>
      <queryTableField id="20" dataBound="0" tableColumnId="44"/>
    </queryTableFields>
  </queryTableRefresh>
</queryTable>
</file>

<file path=xl/queryTables/queryTable2.xml><?xml version="1.0" encoding="utf-8"?>
<queryTable xmlns="http://schemas.openxmlformats.org/spreadsheetml/2006/main" name="Query from MS Access Database_1" growShrinkType="insertClear" adjustColumnWidth="0" connectionId="4" autoFormatId="16" applyNumberFormats="0" applyBorderFormats="0" applyFontFormats="0" applyPatternFormats="0" applyAlignmentFormats="0" applyWidthHeightFormats="0">
  <queryTableRefresh nextId="23" unboundColumnsRight="2">
    <queryTableFields count="22">
      <queryTableField id="1" name="ADOT#" tableColumnId="1"/>
      <queryTableField id="2" name="TIP#" tableColumnId="2"/>
      <queryTableField id="3" name="Sponsor" tableColumnId="3"/>
      <queryTableField id="4" name="Action/15" tableColumnId="4"/>
      <queryTableField id="5" name="Location" tableColumnId="5"/>
      <queryTableField id="6" name="RTE" tableColumnId="6"/>
      <queryTableField id="7" name="SEC" tableColumnId="7"/>
      <queryTableField id="8" name="SEQ" tableColumnId="8"/>
      <queryTableField id="22" dataBound="0" tableColumnId="22"/>
      <queryTableField id="9" name="PB Expected" tableColumnId="9"/>
      <queryTableField id="10" name="PB Received" tableColumnId="10"/>
      <queryTableField id="11" name="PF Transmitted" tableColumnId="11"/>
      <queryTableField id="12" name="Finance Authorization" tableColumnId="12"/>
      <queryTableField id="13" name="HURF EX" tableColumnId="13"/>
      <queryTableField id="14" name="HSIP" tableColumnId="14"/>
      <queryTableField id="15" name="PL" tableColumnId="15"/>
      <queryTableField id="16" name="SPR" tableColumnId="16"/>
      <queryTableField id="17" name="STP &lt;5" tableColumnId="17"/>
      <queryTableField id="18" name="STP 5-200" tableColumnId="18"/>
      <queryTableField id="19" name="STP OTHER" tableColumnId="19"/>
      <queryTableField id="21" dataBound="0" tableColumnId="20"/>
      <queryTableField id="20" dataBound="0" tableColumnId="21"/>
    </queryTableFields>
  </queryTableRefresh>
</queryTable>
</file>

<file path=xl/queryTables/queryTable3.xml><?xml version="1.0" encoding="utf-8"?>
<queryTable xmlns="http://schemas.openxmlformats.org/spreadsheetml/2006/main" name="Query from MS Access Database" growShrinkType="insertClear" connectionId="2" autoFormatId="16" applyNumberFormats="0" applyBorderFormats="0" applyFontFormats="0" applyPatternFormats="0" applyAlignmentFormats="0" applyWidthHeightFormats="0">
  <queryTableRefresh nextId="23">
    <queryTableFields count="21">
      <queryTableField id="1" name="Transaction Year" tableColumnId="22"/>
      <queryTableField id="2" name="Transaction Type" tableColumnId="23"/>
      <queryTableField id="3" name="Number" tableColumnId="24"/>
      <queryTableField id="4" name="From" tableColumnId="25"/>
      <queryTableField id="5" name="To" tableColumnId="26"/>
      <queryTableField id="6" name="Repayment Year" tableColumnId="27"/>
      <queryTableField id="7" name="Project8" tableColumnId="28"/>
      <queryTableField id="8" name="Notes" tableColumnId="29"/>
      <queryTableField id="9" name="Total" tableColumnId="30"/>
      <queryTableField id="10" name="CMAQ" tableColumnId="31"/>
      <queryTableField id="11" name="CMAQ 25" tableColumnId="32"/>
      <queryTableField id="12" name="HURF Exchange" tableColumnId="33"/>
      <queryTableField id="13" name="HSIP" tableColumnId="34"/>
      <queryTableField id="14" name="PLAN" tableColumnId="35"/>
      <queryTableField id="15" name="SPR" tableColumnId="36"/>
      <queryTableField id="16" name="STP &lt;5" tableColumnId="37"/>
      <queryTableField id="17" name="STP 5-2" tableColumnId="38"/>
      <queryTableField id="18" name="STP Flex" tableColumnId="39"/>
      <queryTableField id="19" name="STP &gt;200" tableColumnId="40"/>
      <queryTableField id="20" name="TAP Flex" tableColumnId="41"/>
      <queryTableField id="21" name="TAP &gt;200" tableColumnId="42"/>
    </queryTableFields>
  </queryTableRefresh>
</queryTable>
</file>

<file path=xl/queryTables/queryTable4.xml><?xml version="1.0" encoding="utf-8"?>
<queryTable xmlns="http://schemas.openxmlformats.org/spreadsheetml/2006/main" name="Query from MS Access Database_1" growShrinkType="insertClear" connectionId="3" autoFormatId="16" applyNumberFormats="0" applyBorderFormats="0" applyFontFormats="0" applyPatternFormats="0" applyAlignmentFormats="0" applyWidthHeightFormats="0">
  <queryTableRefresh nextId="22">
    <queryTableFields count="21">
      <queryTableField id="1" name="Transaction Year" tableColumnId="29"/>
      <queryTableField id="2" name="Transaction Type" tableColumnId="30"/>
      <queryTableField id="3" name="Number" tableColumnId="31"/>
      <queryTableField id="4" name="From" tableColumnId="32"/>
      <queryTableField id="5" name="To" tableColumnId="33"/>
      <queryTableField id="6" name="Repayment Year" tableColumnId="34"/>
      <queryTableField id="7" name="Project8" tableColumnId="35"/>
      <queryTableField id="8" name="Notes" tableColumnId="36"/>
      <queryTableField id="9" name="Total" tableColumnId="37"/>
      <queryTableField id="10" name="CMAQ" tableColumnId="38"/>
      <queryTableField id="11" name="CMAQ 25" tableColumnId="39"/>
      <queryTableField id="12" name="HURF Exchange" tableColumnId="40"/>
      <queryTableField id="13" name="HSIP" tableColumnId="41"/>
      <queryTableField id="14" name="PLan" tableColumnId="42"/>
      <queryTableField id="15" name="SPR" tableColumnId="43"/>
      <queryTableField id="16" name="STP &lt;5" tableColumnId="44"/>
      <queryTableField id="17" name="STP 5-2" tableColumnId="45"/>
      <queryTableField id="18" name="STP Flex" tableColumnId="46"/>
      <queryTableField id="19" name="STP &gt;200" tableColumnId="47"/>
      <queryTableField id="20" name="TAP Flex" tableColumnId="48"/>
      <queryTableField id="21" name="TAP &gt;200" tableColumnId="49"/>
    </queryTableFields>
  </queryTableRefresh>
</queryTable>
</file>

<file path=xl/tables/_rels/table2.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_rels/table3.xml.rels><?xml version="1.0" encoding="UTF-8" standalone="yes"?>
<Relationships xmlns="http://schemas.openxmlformats.org/package/2006/relationships"><Relationship Id="rId1" Type="http://schemas.openxmlformats.org/officeDocument/2006/relationships/queryTable" Target="../queryTables/queryTable2.xml"/></Relationships>
</file>

<file path=xl/tables/_rels/table4.xml.rels><?xml version="1.0" encoding="UTF-8" standalone="yes"?>
<Relationships xmlns="http://schemas.openxmlformats.org/package/2006/relationships"><Relationship Id="rId1" Type="http://schemas.openxmlformats.org/officeDocument/2006/relationships/queryTable" Target="../queryTables/queryTable3.xml"/></Relationships>
</file>

<file path=xl/tables/_rels/table5.xml.rels><?xml version="1.0" encoding="UTF-8" standalone="yes"?>
<Relationships xmlns="http://schemas.openxmlformats.org/package/2006/relationships"><Relationship Id="rId1" Type="http://schemas.openxmlformats.org/officeDocument/2006/relationships/queryTable" Target="../queryTables/queryTable4.xml"/></Relationships>
</file>

<file path=xl/tables/table1.xml><?xml version="1.0" encoding="utf-8"?>
<table xmlns="http://schemas.openxmlformats.org/spreadsheetml/2006/main" id="1" name="Table1" displayName="Table1" ref="M3:V12" totalsRowShown="0" headerRowDxfId="112" dataDxfId="110" headerRowBorderDxfId="111" tableBorderDxfId="109" totalsRowBorderDxfId="108" headerRowCellStyle="Currency">
  <autoFilter ref="M3:V12"/>
  <tableColumns count="10">
    <tableColumn id="1" name="Description" dataDxfId="107"/>
    <tableColumn id="10" name="HURF Ex" dataDxfId="106"/>
    <tableColumn id="4" name="HSIP/3" dataDxfId="105"/>
    <tableColumn id="2" name="PL" dataDxfId="104"/>
    <tableColumn id="5" name="SPR /4" dataDxfId="103"/>
    <tableColumn id="3" name="STP &lt;5" dataDxfId="102"/>
    <tableColumn id="9" name="STP 5-200" dataDxfId="101"/>
    <tableColumn id="6" name="STP other" dataDxfId="100"/>
    <tableColumn id="7" name="Total" dataDxfId="99"/>
    <tableColumn id="8" name="FFY OBLIGATION AUTHORITY /2" dataDxfId="98"/>
  </tableColumns>
  <tableStyleInfo name="Table Style 4" showFirstColumn="0" showLastColumn="0" showRowStripes="1" showColumnStripes="0"/>
</table>
</file>

<file path=xl/tables/table2.xml><?xml version="1.0" encoding="utf-8"?>
<table xmlns="http://schemas.openxmlformats.org/spreadsheetml/2006/main" id="7" name="Table_Query_from_MS_Access_Database8" displayName="Table_Query_from_MS_Access_Database8" ref="A15:V23" tableType="queryTable" totalsRowShown="0" headerRowDxfId="25" dataDxfId="24" tableBorderDxfId="23">
  <autoFilter ref="A15:V23"/>
  <tableColumns count="22">
    <tableColumn id="23" uniqueName="23" name="ADOT#" queryTableFieldId="1" dataDxfId="22"/>
    <tableColumn id="24" uniqueName="24" name="TIP#" queryTableFieldId="2" dataDxfId="21"/>
    <tableColumn id="25" uniqueName="25" name="Sponsor" queryTableFieldId="3" dataDxfId="20"/>
    <tableColumn id="26" uniqueName="26" name="Action/15" queryTableFieldId="4" dataDxfId="19"/>
    <tableColumn id="27" uniqueName="27" name="Location" queryTableFieldId="5" dataDxfId="18"/>
    <tableColumn id="28" uniqueName="28" name="RTE" queryTableFieldId="6" dataDxfId="17"/>
    <tableColumn id="29" uniqueName="29" name="SEC" queryTableFieldId="7" dataDxfId="16"/>
    <tableColumn id="30" uniqueName="30" name="SEQ" queryTableFieldId="8" dataDxfId="15"/>
    <tableColumn id="45" uniqueName="45" name="Fed #" queryTableFieldId="23" dataDxfId="14">
      <calculatedColumnFormula>CONCATENATE(Table_Query_from_MS_Access_Database8[RTE],Table_Query_from_MS_Access_Database8[SEC],Table_Query_from_MS_Access_Database8[SEQ])</calculatedColumnFormula>
    </tableColumn>
    <tableColumn id="31" uniqueName="31" name="PB Expected" queryTableFieldId="9" dataDxfId="13"/>
    <tableColumn id="32" uniqueName="32" name="PB Received" queryTableFieldId="10" dataDxfId="12"/>
    <tableColumn id="33" uniqueName="33" name="PF Transmitted" queryTableFieldId="11" dataDxfId="11"/>
    <tableColumn id="34" uniqueName="34" name="Finance Authorization" queryTableFieldId="12" dataDxfId="10"/>
    <tableColumn id="35" uniqueName="35" name="HURF EX" queryTableFieldId="13" dataDxfId="9"/>
    <tableColumn id="36" uniqueName="36" name="HSIP" queryTableFieldId="14" dataDxfId="8"/>
    <tableColumn id="37" uniqueName="37" name="PL" queryTableFieldId="15" dataDxfId="7"/>
    <tableColumn id="38" uniqueName="38" name="SPR" queryTableFieldId="16" dataDxfId="6"/>
    <tableColumn id="39" uniqueName="39" name="STP &lt;5" queryTableFieldId="17" dataDxfId="5"/>
    <tableColumn id="40" uniqueName="40" name="STP 5-200" queryTableFieldId="18" dataDxfId="4"/>
    <tableColumn id="41" uniqueName="41" name="STP OTHER" queryTableFieldId="19" dataDxfId="3"/>
    <tableColumn id="43" uniqueName="43" name="TOTAL OF AMOUNT" queryTableFieldId="21" dataDxfId="2">
      <calculatedColumnFormula>SUM(Table_Query_from_MS_Access_Database8[[#This Row],[HURF EX]:[STP OTHER]])</calculatedColumnFormula>
    </tableColumn>
    <tableColumn id="44" uniqueName="44" name="DECLINING BALANCE OA" queryTableFieldId="20" dataDxfId="1">
      <calculatedColumnFormula>V12-Table_Query_from_MS_Access_Database8[TOTAL OF AMOUNT]</calculatedColumnFormula>
    </tableColumn>
  </tableColumns>
  <tableStyleInfo name="Table Style 4" showFirstColumn="0" showLastColumn="0" showRowStripes="1" showColumnStripes="0"/>
</table>
</file>

<file path=xl/tables/table3.xml><?xml version="1.0" encoding="utf-8"?>
<table xmlns="http://schemas.openxmlformats.org/spreadsheetml/2006/main" id="8" name="Table_Query_from_MS_Access_Database_1" displayName="Table_Query_from_MS_Access_Database_1" ref="A28:V33" tableType="queryTable" totalsRowShown="0" headerRowDxfId="97" dataDxfId="96">
  <autoFilter ref="A28:V33"/>
  <tableColumns count="22">
    <tableColumn id="1" uniqueName="1" name="ADOT#" queryTableFieldId="1" dataDxfId="88"/>
    <tableColumn id="2" uniqueName="2" name="TIP#" queryTableFieldId="2" dataDxfId="87"/>
    <tableColumn id="3" uniqueName="3" name="Sponsor" queryTableFieldId="3" dataDxfId="86"/>
    <tableColumn id="4" uniqueName="4" name="Action/15" queryTableFieldId="4" dataDxfId="85"/>
    <tableColumn id="5" uniqueName="5" name="Location" queryTableFieldId="5" dataDxfId="84"/>
    <tableColumn id="6" uniqueName="6" name="RTE" queryTableFieldId="6" dataDxfId="83"/>
    <tableColumn id="7" uniqueName="7" name="SEC" queryTableFieldId="7" dataDxfId="82"/>
    <tableColumn id="8" uniqueName="8" name="SEQ" queryTableFieldId="8" dataDxfId="81"/>
    <tableColumn id="22" uniqueName="22" name="Fed #" queryTableFieldId="22" dataDxfId="80">
      <calculatedColumnFormula>CONCATENATE(Table_Query_from_MS_Access_Database_1[RTE],Table_Query_from_MS_Access_Database_1[SEC],Table_Query_from_MS_Access_Database_1[SEQ])</calculatedColumnFormula>
    </tableColumn>
    <tableColumn id="9" uniqueName="9" name="PB Expected" queryTableFieldId="9" dataDxfId="79"/>
    <tableColumn id="10" uniqueName="10" name="PB Received" queryTableFieldId="10" dataDxfId="78"/>
    <tableColumn id="11" uniqueName="11" name="PF Transmitted" queryTableFieldId="11" dataDxfId="77"/>
    <tableColumn id="12" uniqueName="12" name="Finance Authorization" queryTableFieldId="12" dataDxfId="76"/>
    <tableColumn id="13" uniqueName="13" name="HURF EX" queryTableFieldId="13" dataDxfId="75"/>
    <tableColumn id="14" uniqueName="14" name="HSIP" queryTableFieldId="14" dataDxfId="74"/>
    <tableColumn id="15" uniqueName="15" name="PL" queryTableFieldId="15" dataDxfId="73"/>
    <tableColumn id="16" uniqueName="16" name="SPR" queryTableFieldId="16" dataDxfId="72"/>
    <tableColumn id="17" uniqueName="17" name="STP &lt;5" queryTableFieldId="17" dataDxfId="71"/>
    <tableColumn id="18" uniqueName="18" name="STP 5-200" queryTableFieldId="18" dataDxfId="70"/>
    <tableColumn id="19" uniqueName="19" name="STP OTHER" queryTableFieldId="19" dataDxfId="69"/>
    <tableColumn id="20" uniqueName="20" name="TOTAL OF AMOUNT" queryTableFieldId="21" dataDxfId="68">
      <calculatedColumnFormula>SUM(Table_Query_from_MS_Access_Database_1[[#This Row],[HURF EX]:[STP OTHER]])</calculatedColumnFormula>
    </tableColumn>
    <tableColumn id="21" uniqueName="21" name="EXPECTED DECLINING BALANCE OA" queryTableFieldId="20" dataDxfId="0">
      <calculatedColumnFormula>V23-Table_Query_from_MS_Access_Database_1[TOTAL OF AMOUNT]</calculatedColumnFormula>
    </tableColumn>
  </tableColumns>
  <tableStyleInfo name="Table Style 4" showFirstColumn="0" showLastColumn="0" showRowStripes="1" showColumnStripes="0"/>
</table>
</file>

<file path=xl/tables/table4.xml><?xml version="1.0" encoding="utf-8"?>
<table xmlns="http://schemas.openxmlformats.org/spreadsheetml/2006/main" id="4" name="Table_Query_from_MS_Access_Database" displayName="Table_Query_from_MS_Access_Database" ref="A11:U50" tableType="queryTable" totalsRowShown="0" headerRowDxfId="95" headerRowBorderDxfId="94" tableBorderDxfId="93" totalsRowBorderDxfId="92" headerRowCellStyle="Comma" dataCellStyle="Comma">
  <autoFilter ref="A11:U50"/>
  <tableColumns count="21">
    <tableColumn id="22" uniqueName="22" name="Transaction Year" queryTableFieldId="1" dataDxfId="46" dataCellStyle="Comma"/>
    <tableColumn id="23" uniqueName="23" name="Transaction Type" queryTableFieldId="2" dataDxfId="45" dataCellStyle="Comma"/>
    <tableColumn id="24" uniqueName="24" name="Number" queryTableFieldId="3" dataDxfId="44" dataCellStyle="Comma"/>
    <tableColumn id="25" uniqueName="25" name="From" queryTableFieldId="4" dataDxfId="43" dataCellStyle="Comma"/>
    <tableColumn id="26" uniqueName="26" name="To" queryTableFieldId="5" dataDxfId="42" dataCellStyle="Comma"/>
    <tableColumn id="27" uniqueName="27" name="Repayment Year" queryTableFieldId="6" dataDxfId="41" dataCellStyle="Comma"/>
    <tableColumn id="28" uniqueName="28" name="Project8" queryTableFieldId="7" dataDxfId="40" dataCellStyle="Comma"/>
    <tableColumn id="29" uniqueName="29" name="Notes" queryTableFieldId="8" dataDxfId="39" dataCellStyle="Comma"/>
    <tableColumn id="30" uniqueName="30" name="Total" queryTableFieldId="9" dataDxfId="38" dataCellStyle="Comma"/>
    <tableColumn id="31" uniqueName="31" name="CMAQ" queryTableFieldId="10" dataDxfId="37" dataCellStyle="Comma"/>
    <tableColumn id="32" uniqueName="32" name="CMAQ 25" queryTableFieldId="11" dataDxfId="36" dataCellStyle="Comma"/>
    <tableColumn id="33" uniqueName="33" name="HURF Exchange" queryTableFieldId="12" dataDxfId="35" dataCellStyle="Comma"/>
    <tableColumn id="34" uniqueName="34" name="HSIP" queryTableFieldId="13" dataDxfId="34" dataCellStyle="Comma"/>
    <tableColumn id="35" uniqueName="35" name="PLAN" queryTableFieldId="14" dataDxfId="33" dataCellStyle="Comma"/>
    <tableColumn id="36" uniqueName="36" name="SPR" queryTableFieldId="15" dataDxfId="32" dataCellStyle="Comma"/>
    <tableColumn id="37" uniqueName="37" name="STP &lt;5" queryTableFieldId="16" dataDxfId="31" dataCellStyle="Comma"/>
    <tableColumn id="38" uniqueName="38" name="STP 5-2" queryTableFieldId="17" dataDxfId="30" dataCellStyle="Comma"/>
    <tableColumn id="39" uniqueName="39" name="STP Flex" queryTableFieldId="18" dataDxfId="29" dataCellStyle="Comma"/>
    <tableColumn id="40" uniqueName="40" name="STP &gt;200" queryTableFieldId="19" dataDxfId="28" dataCellStyle="Comma"/>
    <tableColumn id="41" uniqueName="41" name="TAP Flex" queryTableFieldId="20" dataDxfId="27" dataCellStyle="Comma"/>
    <tableColumn id="42" uniqueName="42" name="TAP &gt;200" queryTableFieldId="21" dataDxfId="26" dataCellStyle="Comma"/>
  </tableColumns>
  <tableStyleInfo name="Table Style 4" showFirstColumn="0" showLastColumn="0" showRowStripes="1" showColumnStripes="0"/>
</table>
</file>

<file path=xl/tables/table5.xml><?xml version="1.0" encoding="utf-8"?>
<table xmlns="http://schemas.openxmlformats.org/spreadsheetml/2006/main" id="5" name="Table_Query_from_MS_Access_Database_16" displayName="Table_Query_from_MS_Access_Database_16" ref="A53:U91" tableType="queryTable" totalsRowShown="0" headerRowDxfId="91" dataDxfId="90" tableBorderDxfId="89" headerRowCellStyle="Comma" dataCellStyle="Comma">
  <autoFilter ref="A53:U91"/>
  <tableColumns count="21">
    <tableColumn id="29" uniqueName="29" name="Transaction Year" queryTableFieldId="1" dataDxfId="67" dataCellStyle="Comma"/>
    <tableColumn id="30" uniqueName="30" name="Transaction Type" queryTableFieldId="2" dataDxfId="66" dataCellStyle="Comma"/>
    <tableColumn id="31" uniqueName="31" name="Number" queryTableFieldId="3" dataDxfId="65" dataCellStyle="Comma"/>
    <tableColumn id="32" uniqueName="32" name="From" queryTableFieldId="4" dataDxfId="64" dataCellStyle="Comma"/>
    <tableColumn id="33" uniqueName="33" name="To" queryTableFieldId="5" dataDxfId="63" dataCellStyle="Comma"/>
    <tableColumn id="34" uniqueName="34" name="Repayment Year" queryTableFieldId="6" dataDxfId="62" dataCellStyle="Comma"/>
    <tableColumn id="35" uniqueName="35" name="Project8" queryTableFieldId="7" dataDxfId="61" dataCellStyle="Comma"/>
    <tableColumn id="36" uniqueName="36" name="Notes" queryTableFieldId="8" dataDxfId="60" dataCellStyle="Comma"/>
    <tableColumn id="37" uniqueName="37" name="Total" queryTableFieldId="9" dataDxfId="59" dataCellStyle="Comma"/>
    <tableColumn id="38" uniqueName="38" name="CMAQ" queryTableFieldId="10" dataDxfId="58" dataCellStyle="Comma"/>
    <tableColumn id="39" uniqueName="39" name="CMAQ 25" queryTableFieldId="11" dataDxfId="57" dataCellStyle="Comma"/>
    <tableColumn id="40" uniqueName="40" name="HURF Exchange" queryTableFieldId="12" dataDxfId="56" dataCellStyle="Comma"/>
    <tableColumn id="41" uniqueName="41" name="HSIP" queryTableFieldId="13" dataDxfId="55" dataCellStyle="Comma"/>
    <tableColumn id="42" uniqueName="42" name="PLan" queryTableFieldId="14" dataDxfId="54" dataCellStyle="Comma"/>
    <tableColumn id="43" uniqueName="43" name="SPR" queryTableFieldId="15" dataDxfId="53" dataCellStyle="Comma"/>
    <tableColumn id="44" uniqueName="44" name="STP &lt;5" queryTableFieldId="16" dataDxfId="52" dataCellStyle="Comma"/>
    <tableColumn id="45" uniqueName="45" name="STP 5-2" queryTableFieldId="17" dataDxfId="51" dataCellStyle="Comma"/>
    <tableColumn id="46" uniqueName="46" name="STP Flex" queryTableFieldId="18" dataDxfId="50" dataCellStyle="Comma"/>
    <tableColumn id="47" uniqueName="47" name="STP &gt;200" queryTableFieldId="19" dataDxfId="49" dataCellStyle="Comma"/>
    <tableColumn id="48" uniqueName="48" name="TAP Flex" queryTableFieldId="20" dataDxfId="48" dataCellStyle="Comma"/>
    <tableColumn id="49" uniqueName="49" name="TAP &gt;200" queryTableFieldId="21" dataDxfId="47" dataCellStyle="Comma"/>
  </tableColumns>
  <tableStyleInfo name="Table Style 4"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1.bin"/><Relationship Id="rId4" Type="http://schemas.openxmlformats.org/officeDocument/2006/relationships/table" Target="../tables/table3.xml"/></Relationships>
</file>

<file path=xl/worksheets/_rels/sheet2.xml.rels><?xml version="1.0" encoding="UTF-8" standalone="yes"?>
<Relationships xmlns="http://schemas.openxmlformats.org/package/2006/relationships"><Relationship Id="rId3" Type="http://schemas.openxmlformats.org/officeDocument/2006/relationships/table" Target="../tables/table5.xml"/><Relationship Id="rId2" Type="http://schemas.openxmlformats.org/officeDocument/2006/relationships/table" Target="../tables/table4.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V45"/>
  <sheetViews>
    <sheetView tabSelected="1" topLeftCell="A13" zoomScale="90" zoomScaleNormal="90" zoomScaleSheetLayoutView="115" workbookViewId="0">
      <selection activeCell="W37" sqref="W37"/>
    </sheetView>
  </sheetViews>
  <sheetFormatPr defaultColWidth="32" defaultRowHeight="16.5" x14ac:dyDescent="0.25"/>
  <cols>
    <col min="1" max="1" width="12.7109375" style="33" customWidth="1"/>
    <col min="2" max="4" width="15.7109375" style="33" customWidth="1"/>
    <col min="5" max="5" width="40.7109375" style="33" customWidth="1"/>
    <col min="6" max="6" width="10.85546875" style="33" hidden="1" customWidth="1"/>
    <col min="7" max="7" width="9.140625" style="33" hidden="1" customWidth="1"/>
    <col min="8" max="8" width="9.28515625" style="33" hidden="1" customWidth="1"/>
    <col min="9" max="9" width="10.7109375" style="33" customWidth="1"/>
    <col min="10" max="12" width="14.7109375" style="33" customWidth="1"/>
    <col min="13" max="13" width="18.7109375" style="33" customWidth="1"/>
    <col min="14" max="20" width="14.7109375" style="36" customWidth="1"/>
    <col min="21" max="21" width="16.7109375" style="33" customWidth="1"/>
    <col min="22" max="22" width="18.7109375" style="33" customWidth="1"/>
    <col min="23" max="16384" width="32" style="33"/>
  </cols>
  <sheetData>
    <row r="1" spans="1:22" ht="23.25" customHeight="1" thickBot="1" x14ac:dyDescent="0.35">
      <c r="A1" s="161" t="s">
        <v>131</v>
      </c>
      <c r="B1" s="161"/>
      <c r="C1" s="161"/>
      <c r="D1" s="161"/>
      <c r="E1" s="161"/>
      <c r="F1" s="161"/>
      <c r="J1" s="34"/>
      <c r="K1" s="35"/>
      <c r="L1" s="34"/>
      <c r="M1" s="49"/>
      <c r="N1" s="171" t="s">
        <v>81</v>
      </c>
      <c r="O1" s="171"/>
      <c r="P1" s="171"/>
      <c r="Q1" s="171"/>
      <c r="R1" s="171"/>
      <c r="S1" s="171"/>
      <c r="T1" s="171"/>
      <c r="U1" s="171"/>
    </row>
    <row r="2" spans="1:22" ht="17.25" customHeight="1" thickBot="1" x14ac:dyDescent="0.35">
      <c r="J2" s="34"/>
      <c r="K2" s="34"/>
      <c r="L2" s="34"/>
      <c r="M2" s="49"/>
      <c r="N2" s="168" t="s">
        <v>12</v>
      </c>
      <c r="O2" s="169"/>
      <c r="P2" s="169"/>
      <c r="Q2" s="169"/>
      <c r="R2" s="169"/>
      <c r="S2" s="169"/>
      <c r="T2" s="169"/>
      <c r="U2" s="170"/>
    </row>
    <row r="3" spans="1:22" ht="27.6" customHeight="1" x14ac:dyDescent="0.3">
      <c r="A3" s="164" t="s">
        <v>84</v>
      </c>
      <c r="B3" s="164"/>
      <c r="C3" s="164"/>
      <c r="D3" s="164"/>
      <c r="E3" s="37"/>
      <c r="F3" s="37"/>
      <c r="G3" s="37"/>
      <c r="J3" s="34"/>
      <c r="K3" s="82"/>
      <c r="L3" s="34"/>
      <c r="M3" s="66" t="s">
        <v>11</v>
      </c>
      <c r="N3" s="146" t="s">
        <v>191</v>
      </c>
      <c r="O3" s="73" t="s">
        <v>63</v>
      </c>
      <c r="P3" s="73" t="s">
        <v>44</v>
      </c>
      <c r="Q3" s="67" t="s">
        <v>58</v>
      </c>
      <c r="R3" s="67" t="s">
        <v>109</v>
      </c>
      <c r="S3" s="67" t="s">
        <v>190</v>
      </c>
      <c r="T3" s="67" t="s">
        <v>6</v>
      </c>
      <c r="U3" s="68" t="s">
        <v>10</v>
      </c>
      <c r="V3" s="116" t="s">
        <v>15</v>
      </c>
    </row>
    <row r="4" spans="1:22" ht="27" x14ac:dyDescent="0.25">
      <c r="A4" s="163" t="s">
        <v>205</v>
      </c>
      <c r="B4" s="163"/>
      <c r="C4" s="163"/>
      <c r="D4" s="163"/>
      <c r="E4" s="38"/>
      <c r="F4" s="38"/>
      <c r="G4" s="38"/>
      <c r="J4" s="34"/>
      <c r="K4" s="34"/>
      <c r="L4" s="34"/>
      <c r="M4" s="79" t="s">
        <v>117</v>
      </c>
      <c r="N4" s="119">
        <v>0</v>
      </c>
      <c r="O4" s="120">
        <v>0</v>
      </c>
      <c r="P4" s="120">
        <v>0</v>
      </c>
      <c r="Q4" s="90">
        <v>0</v>
      </c>
      <c r="R4" s="90">
        <v>0</v>
      </c>
      <c r="S4" s="90">
        <v>0</v>
      </c>
      <c r="T4" s="91">
        <v>0</v>
      </c>
      <c r="U4" s="123">
        <f t="shared" ref="U4:U12" si="0">SUM(N4:T4)</f>
        <v>0</v>
      </c>
      <c r="V4" s="120">
        <v>0</v>
      </c>
    </row>
    <row r="5" spans="1:22" ht="27" x14ac:dyDescent="0.25">
      <c r="A5" s="87" t="s">
        <v>96</v>
      </c>
      <c r="C5" s="65">
        <v>43465</v>
      </c>
      <c r="J5" s="34"/>
      <c r="K5" s="34"/>
      <c r="L5" s="34"/>
      <c r="M5" s="80" t="s">
        <v>103</v>
      </c>
      <c r="N5" s="121">
        <v>0</v>
      </c>
      <c r="O5" s="122">
        <v>0</v>
      </c>
      <c r="P5" s="122">
        <v>120825</v>
      </c>
      <c r="Q5" s="91">
        <v>125000</v>
      </c>
      <c r="R5" s="91">
        <v>180739</v>
      </c>
      <c r="S5" s="91">
        <v>432181</v>
      </c>
      <c r="T5" s="91">
        <v>0</v>
      </c>
      <c r="U5" s="123">
        <f t="shared" si="0"/>
        <v>858745</v>
      </c>
      <c r="V5" s="122">
        <f>ROUND(+Table1[[#This Row],[Total]]*0.949,0)</f>
        <v>814949</v>
      </c>
    </row>
    <row r="6" spans="1:22" ht="15.6" x14ac:dyDescent="0.3">
      <c r="J6" s="34"/>
      <c r="K6" s="34"/>
      <c r="L6" s="34"/>
      <c r="M6" s="80" t="s">
        <v>72</v>
      </c>
      <c r="N6" s="145">
        <f>SUMIFS(Table_Query_from_MS_Access_Database[[#All],[HURF Exchange]],Table_Query_from_MS_Access_Database[[#All],[Transaction Year]],"2019",Table_Query_from_MS_Access_Database[[#All],[Transaction Type]],"loan in")</f>
        <v>0</v>
      </c>
      <c r="O6" s="125">
        <f>SUMIFS(Table_Query_from_MS_Access_Database[[#All],[HSIP]],Table_Query_from_MS_Access_Database[[#All],[Transaction Year]],"2019",Table_Query_from_MS_Access_Database[[#All],[Transaction Type]],"loan in")</f>
        <v>0</v>
      </c>
      <c r="P6" s="124">
        <f>SUMIFS(Table_Query_from_MS_Access_Database[[#All],[PLAN]],Table_Query_from_MS_Access_Database[[#All],[Transaction Year]],"2019",Table_Query_from_MS_Access_Database[[#All],[Transaction Type]],"loan in")</f>
        <v>0</v>
      </c>
      <c r="Q6" s="124">
        <f>SUMIFS(Table_Query_from_MS_Access_Database[[#All],[SPR]],Table_Query_from_MS_Access_Database[[#All],[Transaction Year]],"2019",Table_Query_from_MS_Access_Database[[#All],[Transaction Type]],"loan in")</f>
        <v>0</v>
      </c>
      <c r="R6" s="124">
        <f>SUMIFS(Table_Query_from_MS_Access_Database[[#All],[STP &lt;5]],Table_Query_from_MS_Access_Database[[#All],[Transaction Year]],"2019",Table_Query_from_MS_Access_Database[[#All],[Transaction Type]],"loan in")</f>
        <v>0</v>
      </c>
      <c r="S6" s="124">
        <f>SUMIFS(Table_Query_from_MS_Access_Database[[#All],[STP 5-2]],Table_Query_from_MS_Access_Database[[#All],[Transaction Year]],"2019",Table_Query_from_MS_Access_Database[[#All],[Transaction Type]],"loan in")</f>
        <v>0</v>
      </c>
      <c r="T6" s="124">
        <f>SUMIFS(Table_Query_from_MS_Access_Database[[#All],[STP Flex]],Table_Query_from_MS_Access_Database[[#All],[Transaction Year]],"2019",Table_Query_from_MS_Access_Database[[#All],[Transaction Type]],"loan in")</f>
        <v>0</v>
      </c>
      <c r="U6" s="123">
        <f t="shared" si="0"/>
        <v>0</v>
      </c>
      <c r="V6" s="125">
        <f>SUMIFS(Table_Query_from_MS_Access_Database_16[[#All],[Total]],Table_Query_from_MS_Access_Database_16[[#All],[Transaction Year]],"2019",Table_Query_from_MS_Access_Database_16[[#All],[Transaction Type]],"Loan In")</f>
        <v>0</v>
      </c>
    </row>
    <row r="7" spans="1:22" ht="15.6" x14ac:dyDescent="0.3">
      <c r="A7" s="40"/>
      <c r="J7" s="34"/>
      <c r="K7" s="34"/>
      <c r="L7" s="34"/>
      <c r="M7" s="80" t="s">
        <v>73</v>
      </c>
      <c r="N7" s="145">
        <f>SUMIFS(Table_Query_from_MS_Access_Database[[#All],[HURF Exchange]],Table_Query_from_MS_Access_Database[[#All],[Transaction Year]],"2019",Table_Query_from_MS_Access_Database[[#All],[Transaction Type]],"loan Out")</f>
        <v>0</v>
      </c>
      <c r="O7" s="125">
        <f>SUMIFS(Table_Query_from_MS_Access_Database[[#All],[HSIP]],Table_Query_from_MS_Access_Database[[#All],[Transaction Year]],"2019",Table_Query_from_MS_Access_Database[[#All],[Transaction Type]],"loan Out")</f>
        <v>0</v>
      </c>
      <c r="P7" s="124">
        <f>SUMIFS(Table_Query_from_MS_Access_Database[[#All],[PLAN]],Table_Query_from_MS_Access_Database[[#All],[Transaction Year]],"2019",Table_Query_from_MS_Access_Database[[#All],[Transaction Type]],"loan Out")</f>
        <v>0</v>
      </c>
      <c r="Q7" s="124">
        <f>SUMIFS(Table_Query_from_MS_Access_Database[[#All],[SPR]],Table_Query_from_MS_Access_Database[[#All],[Transaction Year]],"2019",Table_Query_from_MS_Access_Database[[#All],[Transaction Type]],"loan Out")</f>
        <v>0</v>
      </c>
      <c r="R7" s="124">
        <f>SUMIFS(Table_Query_from_MS_Access_Database[[#All],[STP &lt;5]],Table_Query_from_MS_Access_Database[[#All],[Transaction Year]],"2019",Table_Query_from_MS_Access_Database[[#All],[Transaction Type]],"loan Out")</f>
        <v>0</v>
      </c>
      <c r="S7" s="124">
        <f>SUMIFS(Table_Query_from_MS_Access_Database[[#All],[STP 5-2]],Table_Query_from_MS_Access_Database[[#All],[Transaction Year]],"2019",Table_Query_from_MS_Access_Database[[#All],[Transaction Type]],"loan Out")</f>
        <v>0</v>
      </c>
      <c r="T7" s="124">
        <f>SUMIFS(Table_Query_from_MS_Access_Database[[#All],[STP Flex]],Table_Query_from_MS_Access_Database[[#All],[Transaction Year]],"2019",Table_Query_from_MS_Access_Database[[#All],[Transaction Type]],"loan Out")</f>
        <v>0</v>
      </c>
      <c r="U7" s="123">
        <f t="shared" si="0"/>
        <v>0</v>
      </c>
      <c r="V7" s="125">
        <f>SUMIFS(Table_Query_from_MS_Access_Database_16[[#All],[Total]],Table_Query_from_MS_Access_Database_16[[#All],[Transaction Year]],"2019",Table_Query_from_MS_Access_Database_16[[#All],[Transaction Type]],"Loan Out")</f>
        <v>0</v>
      </c>
    </row>
    <row r="8" spans="1:22" ht="15.6" x14ac:dyDescent="0.3">
      <c r="J8" s="34"/>
      <c r="K8" s="34"/>
      <c r="L8" s="34"/>
      <c r="M8" s="79" t="s">
        <v>74</v>
      </c>
      <c r="N8" s="145">
        <f>SUMIFS(Table_Query_from_MS_Access_Database[[#All],[HURF Exchange]],Table_Query_from_MS_Access_Database[[#All],[Transaction Year]],"2019",Table_Query_from_MS_Access_Database[[#All],[Transaction Type]],"repayment in")</f>
        <v>0</v>
      </c>
      <c r="O8" s="125">
        <f>SUMIFS(Table_Query_from_MS_Access_Database[[#All],[HSIP]],Table_Query_from_MS_Access_Database[[#All],[Transaction Year]],"2019",Table_Query_from_MS_Access_Database[[#All],[Transaction Type]],"repayment in")</f>
        <v>0</v>
      </c>
      <c r="P8" s="124">
        <f>SUMIFS(Table_Query_from_MS_Access_Database[[#All],[PLAN]],Table_Query_from_MS_Access_Database[[#All],[Transaction Year]],"2019",Table_Query_from_MS_Access_Database[[#All],[Transaction Type]],"repayment in")</f>
        <v>0</v>
      </c>
      <c r="Q8" s="124">
        <f>SUMIFS(Table_Query_from_MS_Access_Database[[#All],[SPR]],Table_Query_from_MS_Access_Database[[#All],[Transaction Year]],"2019",Table_Query_from_MS_Access_Database[[#All],[Transaction Type]],"repayment in")</f>
        <v>0</v>
      </c>
      <c r="R8" s="124">
        <f>SUMIFS(Table_Query_from_MS_Access_Database[[#All],[STP &lt;5]],Table_Query_from_MS_Access_Database[[#All],[Transaction Year]],"2019",Table_Query_from_MS_Access_Database[[#All],[Transaction Type]],"repayment in")</f>
        <v>0</v>
      </c>
      <c r="S8" s="124">
        <f>SUMIFS(Table_Query_from_MS_Access_Database[[#All],[STP 5-2]],Table_Query_from_MS_Access_Database[[#All],[Transaction Year]],"2019",Table_Query_from_MS_Access_Database[[#All],[Transaction Type]],"repayment in")</f>
        <v>0</v>
      </c>
      <c r="T8" s="124">
        <f>SUMIFS(Table_Query_from_MS_Access_Database[[#All],[STP Flex]],Table_Query_from_MS_Access_Database[[#All],[Transaction Year]],"2019",Table_Query_from_MS_Access_Database[[#All],[Transaction Type]],"repayment in")</f>
        <v>0</v>
      </c>
      <c r="U8" s="123">
        <f t="shared" si="0"/>
        <v>0</v>
      </c>
      <c r="V8" s="125">
        <f>SUMIFS(Table_Query_from_MS_Access_Database_16[[#All],[Total]],Table_Query_from_MS_Access_Database_16[[#All],[Transaction Year]],"2019",Table_Query_from_MS_Access_Database_16[[#All],[Transaction Type]],"repayment In")</f>
        <v>0</v>
      </c>
    </row>
    <row r="9" spans="1:22" ht="15.6" x14ac:dyDescent="0.3">
      <c r="A9" s="163" t="s">
        <v>90</v>
      </c>
      <c r="B9" s="163"/>
      <c r="C9" s="163"/>
      <c r="D9" s="163"/>
      <c r="E9" s="163"/>
      <c r="F9" s="163"/>
      <c r="G9" s="163"/>
      <c r="H9" s="163"/>
      <c r="I9" s="163"/>
      <c r="J9" s="163"/>
      <c r="K9" s="163"/>
      <c r="L9" s="163"/>
      <c r="M9" s="80" t="s">
        <v>75</v>
      </c>
      <c r="N9" s="145">
        <f>SUMIFS(Table_Query_from_MS_Access_Database[[#All],[HURF Exchange]],Table_Query_from_MS_Access_Database[[#All],[Transaction Year]],"2019",Table_Query_from_MS_Access_Database[[#All],[Transaction Type]],"repayment Out")</f>
        <v>0</v>
      </c>
      <c r="O9" s="125">
        <f>SUMIFS(Table_Query_from_MS_Access_Database[[#All],[HSIP]],Table_Query_from_MS_Access_Database[[#All],[Transaction Year]],"2019",Table_Query_from_MS_Access_Database[[#All],[Transaction Type]],"repayment Out")</f>
        <v>0</v>
      </c>
      <c r="P9" s="124">
        <f>SUMIFS(Table_Query_from_MS_Access_Database[[#All],[PLAN]],Table_Query_from_MS_Access_Database[[#All],[Transaction Year]],"2019",Table_Query_from_MS_Access_Database[[#All],[Transaction Type]],"repayment Out")</f>
        <v>0</v>
      </c>
      <c r="Q9" s="124">
        <f>SUMIFS(Table_Query_from_MS_Access_Database[[#All],[SPR]],Table_Query_from_MS_Access_Database[[#All],[Transaction Year]],"2019",Table_Query_from_MS_Access_Database[[#All],[Transaction Type]],"repayment Out")</f>
        <v>0</v>
      </c>
      <c r="R9" s="124">
        <f>SUMIFS(Table_Query_from_MS_Access_Database[[#All],[STP &lt;5]],Table_Query_from_MS_Access_Database[[#All],[Transaction Year]],"2019",Table_Query_from_MS_Access_Database[[#All],[Transaction Type]],"repayment Out")</f>
        <v>0</v>
      </c>
      <c r="S9" s="124">
        <f>SUMIFS(Table_Query_from_MS_Access_Database[[#All],[STP 5-2]],Table_Query_from_MS_Access_Database[[#All],[Transaction Year]],"2019",Table_Query_from_MS_Access_Database[[#All],[Transaction Type]],"repayment Out")</f>
        <v>0</v>
      </c>
      <c r="T9" s="124">
        <f>SUMIFS(Table_Query_from_MS_Access_Database[[#All],[STP Flex]],Table_Query_from_MS_Access_Database[[#All],[Transaction Year]],"2019",Table_Query_from_MS_Access_Database[[#All],[Transaction Type]],"repayment Out")</f>
        <v>0</v>
      </c>
      <c r="U9" s="123">
        <f t="shared" si="0"/>
        <v>0</v>
      </c>
      <c r="V9" s="125">
        <f>SUMIFS(Table_Query_from_MS_Access_Database_16[[#All],[Total]],Table_Query_from_MS_Access_Database_16[[#All],[Transaction Year]],"2019",Table_Query_from_MS_Access_Database_16[[#All],[Transaction Type]],"Repayment Out")</f>
        <v>0</v>
      </c>
    </row>
    <row r="10" spans="1:22" ht="15.6" x14ac:dyDescent="0.3">
      <c r="J10" s="34"/>
      <c r="K10" s="34"/>
      <c r="L10" s="34"/>
      <c r="M10" s="80" t="s">
        <v>76</v>
      </c>
      <c r="N10" s="145">
        <f>SUMIFS(Table_Query_from_MS_Access_Database[[#All],[HURF Exchange]],Table_Query_from_MS_Access_Database[[#All],[Transaction Year]],"2019",Table_Query_from_MS_Access_Database[[#All],[Transaction Type]],"Transfer in")</f>
        <v>351929</v>
      </c>
      <c r="O10" s="125">
        <f>SUMIFS(Table_Query_from_MS_Access_Database[[#All],[HSIP]],Table_Query_from_MS_Access_Database[[#All],[Transaction Year]],"2019",Table_Query_from_MS_Access_Database[[#All],[Transaction Type]],"Transfer in")</f>
        <v>0</v>
      </c>
      <c r="P10" s="124">
        <f>SUMIFS(Table_Query_from_MS_Access_Database[[#All],[PLAN]],Table_Query_from_MS_Access_Database[[#All],[Transaction Year]],"2019",Table_Query_from_MS_Access_Database[[#All],[Transaction Type]],"Transfer in")</f>
        <v>0</v>
      </c>
      <c r="Q10" s="124">
        <f>SUMIFS(Table_Query_from_MS_Access_Database[[#All],[SPR]],Table_Query_from_MS_Access_Database[[#All],[Transaction Year]],"2019",Table_Query_from_MS_Access_Database[[#All],[Transaction Type]],"Transfer in")</f>
        <v>0</v>
      </c>
      <c r="R10" s="124">
        <f>SUMIFS(Table_Query_from_MS_Access_Database[[#All],[STP &lt;5]],Table_Query_from_MS_Access_Database[[#All],[Transaction Year]],"2019",Table_Query_from_MS_Access_Database[[#All],[Transaction Type]],"Transfer in")</f>
        <v>0</v>
      </c>
      <c r="S10" s="124">
        <f>SUMIFS(Table_Query_from_MS_Access_Database[[#All],[STP 5-2]],Table_Query_from_MS_Access_Database[[#All],[Transaction Year]],"2019",Table_Query_from_MS_Access_Database[[#All],[Transaction Type]],"Transfer in")</f>
        <v>0</v>
      </c>
      <c r="T10" s="124">
        <f>SUMIFS(Table_Query_from_MS_Access_Database[[#All],[STP Flex]],Table_Query_from_MS_Access_Database[[#All],[Transaction Year]],"2019",Table_Query_from_MS_Access_Database[[#All],[Transaction Type]],"Transfer in")</f>
        <v>110154.04</v>
      </c>
      <c r="U10" s="123">
        <f t="shared" si="0"/>
        <v>462083.04</v>
      </c>
      <c r="V10" s="125">
        <f>SUMIFS(Table_Query_from_MS_Access_Database_16[[#All],[Total]],Table_Query_from_MS_Access_Database_16[[#All],[Transaction Year]],"2019",Table_Query_from_MS_Access_Database_16[[#All],[Transaction Type]],"Transfer In")</f>
        <v>462083.04</v>
      </c>
    </row>
    <row r="11" spans="1:22" ht="15.6" x14ac:dyDescent="0.3">
      <c r="F11" s="41"/>
      <c r="G11" s="41"/>
      <c r="J11" s="34"/>
      <c r="K11" s="34"/>
      <c r="L11" s="34"/>
      <c r="M11" s="80" t="s">
        <v>77</v>
      </c>
      <c r="N11" s="145">
        <f>SUMIFS(Table_Query_from_MS_Access_Database[[#All],[HURF Exchange]],Table_Query_from_MS_Access_Database[[#All],[Transaction Year]],"2019",Table_Query_from_MS_Access_Database[[#All],[Transaction Type]],"Transfer Out")</f>
        <v>0</v>
      </c>
      <c r="O11" s="125">
        <f>SUMIFS(Table_Query_from_MS_Access_Database[[#All],[HSIP]],Table_Query_from_MS_Access_Database[[#All],[Transaction Year]],"2019",Table_Query_from_MS_Access_Database[[#All],[Transaction Type]],"Transfer Out")</f>
        <v>0</v>
      </c>
      <c r="P11" s="124">
        <f>SUMIFS(Table_Query_from_MS_Access_Database[[#All],[PLAN]],Table_Query_from_MS_Access_Database[[#All],[Transaction Year]],"2019",Table_Query_from_MS_Access_Database[[#All],[Transaction Type]],"Transfer Out")</f>
        <v>0</v>
      </c>
      <c r="Q11" s="124">
        <f>SUMIFS(Table_Query_from_MS_Access_Database[[#All],[SPR]],Table_Query_from_MS_Access_Database[[#All],[Transaction Year]],"2019",Table_Query_from_MS_Access_Database[[#All],[Transaction Type]],"Transfer Out")</f>
        <v>0</v>
      </c>
      <c r="R11" s="124">
        <f>SUMIFS(Table_Query_from_MS_Access_Database[[#All],[STP &lt;5]],Table_Query_from_MS_Access_Database[[#All],[Transaction Year]],"2019",Table_Query_from_MS_Access_Database[[#All],[Transaction Type]],"Transfer Out")</f>
        <v>0</v>
      </c>
      <c r="S11" s="124">
        <f>SUMIFS(Table_Query_from_MS_Access_Database[[#All],[STP 5-2]],Table_Query_from_MS_Access_Database[[#All],[Transaction Year]],"2019",Table_Query_from_MS_Access_Database[[#All],[Transaction Type]],"Transfer Out")</f>
        <v>-684412</v>
      </c>
      <c r="T11" s="124">
        <f>SUMIFS(Table_Query_from_MS_Access_Database[[#All],[STP Flex]],Table_Query_from_MS_Access_Database[[#All],[Transaction Year]],"2019",Table_Query_from_MS_Access_Database[[#All],[Transaction Type]],"Transfer Out")</f>
        <v>0</v>
      </c>
      <c r="U11" s="123">
        <f t="shared" si="0"/>
        <v>-684412</v>
      </c>
      <c r="V11" s="125">
        <f>SUMIFS(Table_Query_from_MS_Access_Database_16[[#All],[Total]],Table_Query_from_MS_Access_Database_16[[#All],[Transaction Year]],"2019",Table_Query_from_MS_Access_Database_16[[#All],[Transaction Type]],"Transfer Out")</f>
        <v>-684412</v>
      </c>
    </row>
    <row r="12" spans="1:22" ht="54" x14ac:dyDescent="0.25">
      <c r="J12" s="34"/>
      <c r="K12" s="34"/>
      <c r="L12" s="34"/>
      <c r="M12" s="81" t="s">
        <v>116</v>
      </c>
      <c r="N12" s="144">
        <f t="shared" ref="N12:T12" si="1">SUM(N4:N11)</f>
        <v>351929</v>
      </c>
      <c r="O12" s="144">
        <f t="shared" si="1"/>
        <v>0</v>
      </c>
      <c r="P12" s="126">
        <f t="shared" si="1"/>
        <v>120825</v>
      </c>
      <c r="Q12" s="126">
        <f t="shared" si="1"/>
        <v>125000</v>
      </c>
      <c r="R12" s="126">
        <f t="shared" si="1"/>
        <v>180739</v>
      </c>
      <c r="S12" s="126">
        <f t="shared" si="1"/>
        <v>-252231</v>
      </c>
      <c r="T12" s="126">
        <f t="shared" si="1"/>
        <v>110154.04</v>
      </c>
      <c r="U12" s="127">
        <f t="shared" si="0"/>
        <v>636416.04</v>
      </c>
      <c r="V12" s="128">
        <f>SUM(V4:V11)</f>
        <v>592620.04</v>
      </c>
    </row>
    <row r="13" spans="1:22" ht="15.6" x14ac:dyDescent="0.3">
      <c r="J13" s="34"/>
      <c r="K13" s="34"/>
      <c r="L13" s="34"/>
      <c r="M13" s="34"/>
      <c r="N13" s="42"/>
      <c r="O13" s="43"/>
      <c r="P13" s="43"/>
      <c r="Q13" s="43"/>
      <c r="R13" s="43"/>
      <c r="S13" s="43"/>
      <c r="T13" s="39"/>
    </row>
    <row r="14" spans="1:22" ht="15.75" customHeight="1" x14ac:dyDescent="0.3">
      <c r="A14" s="162" t="s">
        <v>64</v>
      </c>
      <c r="B14" s="162"/>
      <c r="C14" s="162"/>
      <c r="D14" s="162"/>
      <c r="J14" s="165" t="s">
        <v>65</v>
      </c>
      <c r="K14" s="166"/>
      <c r="L14" s="166"/>
      <c r="M14" s="167"/>
      <c r="N14" s="44"/>
      <c r="R14" s="45"/>
      <c r="S14" s="45"/>
      <c r="T14" s="45"/>
    </row>
    <row r="15" spans="1:22" s="48" customFormat="1" ht="27" x14ac:dyDescent="0.25">
      <c r="A15" s="113" t="s">
        <v>1</v>
      </c>
      <c r="B15" s="113" t="s">
        <v>0</v>
      </c>
      <c r="C15" s="113" t="s">
        <v>3</v>
      </c>
      <c r="D15" s="113" t="s">
        <v>87</v>
      </c>
      <c r="E15" s="113" t="s">
        <v>2</v>
      </c>
      <c r="F15" s="113" t="s">
        <v>48</v>
      </c>
      <c r="G15" s="113" t="s">
        <v>49</v>
      </c>
      <c r="H15" s="113" t="s">
        <v>50</v>
      </c>
      <c r="I15" s="113" t="s">
        <v>113</v>
      </c>
      <c r="J15" s="113" t="s">
        <v>51</v>
      </c>
      <c r="K15" s="113" t="s">
        <v>52</v>
      </c>
      <c r="L15" s="76" t="s">
        <v>53</v>
      </c>
      <c r="M15" s="76" t="s">
        <v>54</v>
      </c>
      <c r="N15" s="113" t="s">
        <v>193</v>
      </c>
      <c r="O15" s="113" t="s">
        <v>4</v>
      </c>
      <c r="P15" s="113" t="s">
        <v>44</v>
      </c>
      <c r="Q15" s="113" t="s">
        <v>5</v>
      </c>
      <c r="R15" s="113" t="s">
        <v>109</v>
      </c>
      <c r="S15" s="76" t="s">
        <v>190</v>
      </c>
      <c r="T15" s="76" t="s">
        <v>55</v>
      </c>
      <c r="U15" s="76" t="s">
        <v>88</v>
      </c>
      <c r="V15" s="76" t="s">
        <v>95</v>
      </c>
    </row>
    <row r="16" spans="1:22" s="51" customFormat="1" ht="13.5" x14ac:dyDescent="0.25">
      <c r="A16" s="51" t="s">
        <v>175</v>
      </c>
      <c r="B16" s="51" t="s">
        <v>130</v>
      </c>
      <c r="C16" s="51" t="s">
        <v>133</v>
      </c>
      <c r="D16" s="51" t="s">
        <v>8</v>
      </c>
      <c r="E16" s="148" t="s">
        <v>176</v>
      </c>
      <c r="F16" s="74" t="s">
        <v>174</v>
      </c>
      <c r="G16" s="74" t="s">
        <v>112</v>
      </c>
      <c r="H16" s="74" t="s">
        <v>111</v>
      </c>
      <c r="I16" s="115" t="str">
        <f>CONCATENATE(Table_Query_from_MS_Access_Database8[RTE],Table_Query_from_MS_Access_Database8[SEC],Table_Query_from_MS_Access_Database8[SEQ])</f>
        <v>SCMP019</v>
      </c>
      <c r="J16" s="134">
        <v>43374</v>
      </c>
      <c r="K16" s="134">
        <v>43374</v>
      </c>
      <c r="L16" s="134">
        <v>43374</v>
      </c>
      <c r="M16" s="134">
        <v>43374</v>
      </c>
      <c r="N16" s="139"/>
      <c r="O16" s="140"/>
      <c r="P16" s="140">
        <v>77873.94</v>
      </c>
      <c r="Q16" s="140"/>
      <c r="R16" s="140"/>
      <c r="S16" s="139"/>
      <c r="T16" s="92"/>
      <c r="U16" s="92">
        <f>SUM(Table_Query_from_MS_Access_Database8[[#This Row],[HURF EX]:[STP OTHER]])</f>
        <v>77873.94</v>
      </c>
      <c r="V16" s="92">
        <f>V12-Table_Query_from_MS_Access_Database8[TOTAL OF AMOUNT]</f>
        <v>514746.10000000003</v>
      </c>
    </row>
    <row r="17" spans="1:22" s="51" customFormat="1" ht="13.5" x14ac:dyDescent="0.25">
      <c r="A17" s="132" t="s">
        <v>172</v>
      </c>
      <c r="B17" s="132"/>
      <c r="C17" s="132" t="s">
        <v>133</v>
      </c>
      <c r="D17" s="132" t="s">
        <v>8</v>
      </c>
      <c r="E17" s="149" t="s">
        <v>173</v>
      </c>
      <c r="F17" s="133" t="s">
        <v>174</v>
      </c>
      <c r="G17" s="133" t="s">
        <v>110</v>
      </c>
      <c r="H17" s="133" t="s">
        <v>111</v>
      </c>
      <c r="I17" s="136" t="str">
        <f>CONCATENATE(Table_Query_from_MS_Access_Database8[RTE],Table_Query_from_MS_Access_Database8[SEC],Table_Query_from_MS_Access_Database8[SEQ])</f>
        <v>SCMS019</v>
      </c>
      <c r="J17" s="135">
        <v>43374</v>
      </c>
      <c r="K17" s="135">
        <v>43374</v>
      </c>
      <c r="L17" s="135">
        <v>43374</v>
      </c>
      <c r="M17" s="135">
        <v>43374</v>
      </c>
      <c r="N17" s="140"/>
      <c r="O17" s="140"/>
      <c r="P17" s="140"/>
      <c r="Q17" s="140">
        <v>91762.27</v>
      </c>
      <c r="R17" s="140"/>
      <c r="S17" s="140"/>
      <c r="T17" s="141"/>
      <c r="U17" s="92">
        <f>SUM(Table_Query_from_MS_Access_Database8[[#This Row],[HURF EX]:[STP OTHER]])</f>
        <v>91762.27</v>
      </c>
      <c r="V17" s="92">
        <f>V16-Table_Query_from_MS_Access_Database8[TOTAL OF AMOUNT]</f>
        <v>422983.83</v>
      </c>
    </row>
    <row r="18" spans="1:22" s="51" customFormat="1" ht="13.5" x14ac:dyDescent="0.25">
      <c r="A18" s="151" t="s">
        <v>175</v>
      </c>
      <c r="B18" s="151" t="s">
        <v>130</v>
      </c>
      <c r="C18" s="151" t="s">
        <v>133</v>
      </c>
      <c r="D18" s="151" t="s">
        <v>8</v>
      </c>
      <c r="E18" s="153" t="s">
        <v>176</v>
      </c>
      <c r="F18" s="154" t="s">
        <v>174</v>
      </c>
      <c r="G18" s="154" t="s">
        <v>112</v>
      </c>
      <c r="H18" s="154" t="s">
        <v>111</v>
      </c>
      <c r="I18" s="155" t="str">
        <f>CONCATENATE(Table_Query_from_MS_Access_Database8[RTE],Table_Query_from_MS_Access_Database8[SEC],Table_Query_from_MS_Access_Database8[SEQ])</f>
        <v>SCMP019</v>
      </c>
      <c r="J18" s="156">
        <v>43405</v>
      </c>
      <c r="K18" s="156">
        <v>43413</v>
      </c>
      <c r="L18" s="156">
        <v>43413</v>
      </c>
      <c r="M18" s="156">
        <v>43423</v>
      </c>
      <c r="N18" s="157"/>
      <c r="O18" s="157"/>
      <c r="P18" s="157">
        <v>73794.98</v>
      </c>
      <c r="Q18" s="157"/>
      <c r="R18" s="157"/>
      <c r="S18" s="157"/>
      <c r="T18" s="158"/>
      <c r="U18" s="158">
        <f>SUM(Table_Query_from_MS_Access_Database8[[#This Row],[HURF EX]:[STP OTHER]])</f>
        <v>73794.98</v>
      </c>
      <c r="V18" s="92">
        <f>V17-Table_Query_from_MS_Access_Database8[TOTAL OF AMOUNT]</f>
        <v>349188.85000000003</v>
      </c>
    </row>
    <row r="19" spans="1:22" s="51" customFormat="1" ht="13.5" x14ac:dyDescent="0.25">
      <c r="A19" s="152" t="s">
        <v>233</v>
      </c>
      <c r="B19" s="152" t="s">
        <v>130</v>
      </c>
      <c r="C19" s="152" t="s">
        <v>133</v>
      </c>
      <c r="D19" s="152" t="s">
        <v>8</v>
      </c>
      <c r="E19" s="153" t="s">
        <v>234</v>
      </c>
      <c r="F19" s="154" t="s">
        <v>174</v>
      </c>
      <c r="G19" s="154" t="s">
        <v>112</v>
      </c>
      <c r="H19" s="154" t="s">
        <v>235</v>
      </c>
      <c r="I19" s="155" t="str">
        <f>CONCATENATE(Table_Query_from_MS_Access_Database8[RTE],Table_Query_from_MS_Access_Database8[SEC],Table_Query_from_MS_Access_Database8[SEQ])</f>
        <v>SCMP018</v>
      </c>
      <c r="J19" s="156">
        <v>43405</v>
      </c>
      <c r="K19" s="156">
        <v>43413</v>
      </c>
      <c r="L19" s="156">
        <v>43413</v>
      </c>
      <c r="M19" s="156">
        <v>43423</v>
      </c>
      <c r="N19" s="157"/>
      <c r="O19" s="157"/>
      <c r="P19" s="157">
        <v>-73794.98</v>
      </c>
      <c r="Q19" s="157"/>
      <c r="R19" s="157"/>
      <c r="S19" s="157"/>
      <c r="T19" s="158"/>
      <c r="U19" s="158">
        <f>SUM(Table_Query_from_MS_Access_Database8[[#This Row],[HURF EX]:[STP OTHER]])</f>
        <v>-73794.98</v>
      </c>
      <c r="V19" s="92">
        <f>V18-Table_Query_from_MS_Access_Database8[TOTAL OF AMOUNT]</f>
        <v>422983.83</v>
      </c>
    </row>
    <row r="20" spans="1:22" s="51" customFormat="1" ht="27" x14ac:dyDescent="0.25">
      <c r="A20" s="151" t="s">
        <v>226</v>
      </c>
      <c r="B20" s="151" t="s">
        <v>223</v>
      </c>
      <c r="C20" s="151" t="s">
        <v>170</v>
      </c>
      <c r="D20" s="151" t="s">
        <v>9</v>
      </c>
      <c r="E20" s="153" t="s">
        <v>224</v>
      </c>
      <c r="F20" s="154" t="s">
        <v>171</v>
      </c>
      <c r="G20" s="154" t="s">
        <v>129</v>
      </c>
      <c r="H20" s="154" t="s">
        <v>225</v>
      </c>
      <c r="I20" s="155" t="str">
        <f>CONCATENATE(Table_Query_from_MS_Access_Database8[RTE],Table_Query_from_MS_Access_Database8[SEC],Table_Query_from_MS_Access_Database8[SEQ])</f>
        <v>ELY0203</v>
      </c>
      <c r="J20" s="156"/>
      <c r="K20" s="156">
        <v>43397</v>
      </c>
      <c r="L20" s="156">
        <v>43397</v>
      </c>
      <c r="M20" s="156">
        <v>43431</v>
      </c>
      <c r="N20" s="157"/>
      <c r="O20" s="157">
        <v>-9890.7800000000007</v>
      </c>
      <c r="P20" s="157"/>
      <c r="Q20" s="157"/>
      <c r="R20" s="157"/>
      <c r="S20" s="157"/>
      <c r="T20" s="158"/>
      <c r="U20" s="158">
        <f>SUM(Table_Query_from_MS_Access_Database8[[#This Row],[HURF EX]:[STP OTHER]])</f>
        <v>-9890.7800000000007</v>
      </c>
      <c r="V20" s="92">
        <f>V19-Table_Query_from_MS_Access_Database8[TOTAL OF AMOUNT]</f>
        <v>432874.61000000004</v>
      </c>
    </row>
    <row r="21" spans="1:22" s="86" customFormat="1" ht="27" x14ac:dyDescent="0.25">
      <c r="A21" s="151" t="s">
        <v>222</v>
      </c>
      <c r="B21" s="151" t="s">
        <v>223</v>
      </c>
      <c r="C21" s="151" t="s">
        <v>170</v>
      </c>
      <c r="D21" s="151" t="s">
        <v>9</v>
      </c>
      <c r="E21" s="153" t="s">
        <v>224</v>
      </c>
      <c r="F21" s="154" t="s">
        <v>171</v>
      </c>
      <c r="G21" s="154" t="s">
        <v>129</v>
      </c>
      <c r="H21" s="154" t="s">
        <v>225</v>
      </c>
      <c r="I21" s="155" t="str">
        <f>CONCATENATE(Table_Query_from_MS_Access_Database8[RTE],Table_Query_from_MS_Access_Database8[SEC],Table_Query_from_MS_Access_Database8[SEQ])</f>
        <v>ELY0203</v>
      </c>
      <c r="J21" s="156"/>
      <c r="K21" s="156">
        <v>43397</v>
      </c>
      <c r="L21" s="156">
        <v>43397</v>
      </c>
      <c r="M21" s="156">
        <v>43431</v>
      </c>
      <c r="N21" s="157"/>
      <c r="O21" s="157">
        <v>-7914.14</v>
      </c>
      <c r="P21" s="157"/>
      <c r="Q21" s="157"/>
      <c r="R21" s="157"/>
      <c r="S21" s="157"/>
      <c r="T21" s="158"/>
      <c r="U21" s="158">
        <f>SUM(Table_Query_from_MS_Access_Database8[[#This Row],[HURF EX]:[STP OTHER]])</f>
        <v>-7914.14</v>
      </c>
      <c r="V21" s="92">
        <f>V20-Table_Query_from_MS_Access_Database8[TOTAL OF AMOUNT]</f>
        <v>440788.75000000006</v>
      </c>
    </row>
    <row r="22" spans="1:22" s="86" customFormat="1" ht="13.5" x14ac:dyDescent="0.25">
      <c r="A22" s="151" t="s">
        <v>172</v>
      </c>
      <c r="B22" s="151"/>
      <c r="C22" s="151" t="s">
        <v>133</v>
      </c>
      <c r="D22" s="151" t="s">
        <v>8</v>
      </c>
      <c r="E22" s="153" t="s">
        <v>173</v>
      </c>
      <c r="F22" s="154" t="s">
        <v>174</v>
      </c>
      <c r="G22" s="154" t="s">
        <v>110</v>
      </c>
      <c r="H22" s="154" t="s">
        <v>111</v>
      </c>
      <c r="I22" s="155" t="str">
        <f>CONCATENATE(Table_Query_from_MS_Access_Database8[RTE],Table_Query_from_MS_Access_Database8[SEC],Table_Query_from_MS_Access_Database8[SEQ])</f>
        <v>SCMS019</v>
      </c>
      <c r="J22" s="156">
        <v>43405</v>
      </c>
      <c r="K22" s="156">
        <v>43434</v>
      </c>
      <c r="L22" s="156">
        <v>43439</v>
      </c>
      <c r="M22" s="156">
        <v>43445</v>
      </c>
      <c r="N22" s="157"/>
      <c r="O22" s="157"/>
      <c r="P22" s="157"/>
      <c r="Q22" s="157">
        <v>88761.16</v>
      </c>
      <c r="R22" s="157"/>
      <c r="S22" s="157"/>
      <c r="T22" s="158"/>
      <c r="U22" s="158">
        <f>SUM(Table_Query_from_MS_Access_Database8[[#This Row],[HURF EX]:[STP OTHER]])</f>
        <v>88761.16</v>
      </c>
      <c r="V22" s="92">
        <f>V21-Table_Query_from_MS_Access_Database8[TOTAL OF AMOUNT]</f>
        <v>352027.59000000008</v>
      </c>
    </row>
    <row r="23" spans="1:22" s="86" customFormat="1" ht="13.5" x14ac:dyDescent="0.25">
      <c r="A23" s="152" t="s">
        <v>237</v>
      </c>
      <c r="B23" s="152"/>
      <c r="C23" s="152" t="s">
        <v>133</v>
      </c>
      <c r="D23" s="152" t="s">
        <v>8</v>
      </c>
      <c r="E23" s="153" t="s">
        <v>238</v>
      </c>
      <c r="F23" s="154" t="s">
        <v>174</v>
      </c>
      <c r="G23" s="154" t="s">
        <v>110</v>
      </c>
      <c r="H23" s="154" t="s">
        <v>235</v>
      </c>
      <c r="I23" s="155" t="str">
        <f>CONCATENATE(Table_Query_from_MS_Access_Database8[RTE],Table_Query_from_MS_Access_Database8[SEC],Table_Query_from_MS_Access_Database8[SEQ])</f>
        <v>SCMS018</v>
      </c>
      <c r="J23" s="156">
        <v>43405</v>
      </c>
      <c r="K23" s="156">
        <v>43434</v>
      </c>
      <c r="L23" s="156">
        <v>43439</v>
      </c>
      <c r="M23" s="156">
        <v>43445</v>
      </c>
      <c r="N23" s="157"/>
      <c r="O23" s="157"/>
      <c r="P23" s="157"/>
      <c r="Q23" s="157">
        <v>-88761.16</v>
      </c>
      <c r="R23" s="157"/>
      <c r="S23" s="157"/>
      <c r="T23" s="158"/>
      <c r="U23" s="158">
        <f>SUM(Table_Query_from_MS_Access_Database8[[#This Row],[HURF EX]:[STP OTHER]])</f>
        <v>-88761.16</v>
      </c>
      <c r="V23" s="92">
        <f>V22-Table_Query_from_MS_Access_Database8[TOTAL OF AMOUNT]</f>
        <v>440788.75000000012</v>
      </c>
    </row>
    <row r="24" spans="1:22" s="86" customFormat="1" ht="13.5" x14ac:dyDescent="0.25">
      <c r="A24" s="51"/>
      <c r="B24" s="51"/>
      <c r="C24" s="51"/>
      <c r="D24" s="51"/>
      <c r="E24" s="46"/>
      <c r="F24" s="46"/>
      <c r="G24" s="46"/>
      <c r="H24" s="46"/>
      <c r="I24" s="46"/>
      <c r="J24" s="46"/>
      <c r="K24" s="46"/>
      <c r="L24" s="46"/>
      <c r="M24" s="75" t="s">
        <v>79</v>
      </c>
      <c r="N24" s="93">
        <f>SUM(Table_Query_from_MS_Access_Database8[[#All],[HURF EX]])</f>
        <v>0</v>
      </c>
      <c r="O24" s="93">
        <f>SUM(Table_Query_from_MS_Access_Database8[[#All],[HSIP]])</f>
        <v>-17804.920000000002</v>
      </c>
      <c r="P24" s="93">
        <f>SUM(Table_Query_from_MS_Access_Database8[[#All],[PL]])</f>
        <v>77873.939999999988</v>
      </c>
      <c r="Q24" s="93">
        <f>SUM(Table_Query_from_MS_Access_Database8[[#All],[SPR]])</f>
        <v>91762.26999999999</v>
      </c>
      <c r="R24" s="93">
        <f>SUM(Table_Query_from_MS_Access_Database8[[#All],[STP &lt;5]])</f>
        <v>0</v>
      </c>
      <c r="S24" s="93">
        <f>SUM(Table_Query_from_MS_Access_Database8[[#All],[STP 5-200]])</f>
        <v>0</v>
      </c>
      <c r="T24" s="93">
        <f>SUM(Table_Query_from_MS_Access_Database8[[#All],[STP OTHER]])</f>
        <v>0</v>
      </c>
      <c r="U24" s="93">
        <f>SUBTOTAL(109,Table_Query_from_MS_Access_Database8[TOTAL OF AMOUNT])</f>
        <v>151831.29</v>
      </c>
      <c r="V24" s="56"/>
    </row>
    <row r="25" spans="1:22" s="86" customFormat="1" ht="27" x14ac:dyDescent="0.25">
      <c r="E25" s="46"/>
      <c r="F25" s="46"/>
      <c r="G25" s="46"/>
      <c r="H25" s="46"/>
      <c r="I25" s="46"/>
      <c r="J25" s="46"/>
      <c r="K25" s="46"/>
      <c r="L25" s="46"/>
      <c r="M25" s="75" t="s">
        <v>78</v>
      </c>
      <c r="N25" s="93">
        <f>+N12-N24</f>
        <v>351929</v>
      </c>
      <c r="O25" s="93">
        <f>+O12-O24</f>
        <v>17804.920000000002</v>
      </c>
      <c r="P25" s="93">
        <f>+P12-P24</f>
        <v>42951.060000000012</v>
      </c>
      <c r="Q25" s="93">
        <f>+Q12-Q24</f>
        <v>33237.73000000001</v>
      </c>
      <c r="R25" s="93">
        <f>+R12-R24</f>
        <v>180739</v>
      </c>
      <c r="S25" s="93">
        <f>+S12-S24</f>
        <v>-252231</v>
      </c>
      <c r="T25" s="93">
        <f>+T12-T24</f>
        <v>110154.04</v>
      </c>
      <c r="U25" s="93">
        <f>+U12-U24</f>
        <v>484584.75</v>
      </c>
      <c r="V25" s="142"/>
    </row>
    <row r="26" spans="1:22" s="86" customFormat="1" ht="15" x14ac:dyDescent="0.25">
      <c r="A26" s="53"/>
      <c r="B26" s="53"/>
      <c r="C26" s="53"/>
      <c r="D26" s="53"/>
      <c r="E26" s="47"/>
      <c r="F26" s="47"/>
      <c r="G26" s="47"/>
      <c r="H26" s="47"/>
      <c r="I26" s="47"/>
      <c r="J26" s="47"/>
      <c r="K26" s="47"/>
      <c r="L26" s="47"/>
      <c r="M26" s="53"/>
      <c r="N26" s="53"/>
      <c r="O26" s="53"/>
      <c r="P26" s="53"/>
      <c r="Q26" s="53"/>
      <c r="R26" s="53"/>
      <c r="S26" s="45"/>
      <c r="T26" s="51"/>
      <c r="U26" s="51"/>
    </row>
    <row r="27" spans="1:22" s="86" customFormat="1" ht="17.25" x14ac:dyDescent="0.3">
      <c r="A27" s="162" t="s">
        <v>36</v>
      </c>
      <c r="B27" s="162"/>
      <c r="C27" s="162"/>
      <c r="D27" s="162"/>
      <c r="E27" s="52"/>
      <c r="F27" s="52"/>
      <c r="G27" s="53"/>
      <c r="H27" s="53"/>
      <c r="I27" s="53"/>
      <c r="J27" s="55"/>
      <c r="K27" s="54"/>
      <c r="L27" s="54"/>
      <c r="M27" s="54"/>
      <c r="N27" s="54"/>
      <c r="O27" s="45"/>
      <c r="P27" s="45"/>
      <c r="Q27" s="47"/>
      <c r="R27" s="47"/>
      <c r="S27" s="45"/>
      <c r="T27" s="51"/>
      <c r="U27" s="51"/>
    </row>
    <row r="28" spans="1:22" s="86" customFormat="1" ht="40.5" x14ac:dyDescent="0.25">
      <c r="A28" s="76" t="s">
        <v>1</v>
      </c>
      <c r="B28" s="76" t="s">
        <v>0</v>
      </c>
      <c r="C28" s="76" t="s">
        <v>3</v>
      </c>
      <c r="D28" s="76" t="s">
        <v>87</v>
      </c>
      <c r="E28" s="76" t="s">
        <v>2</v>
      </c>
      <c r="F28" s="76" t="s">
        <v>48</v>
      </c>
      <c r="G28" s="76" t="s">
        <v>49</v>
      </c>
      <c r="H28" s="76" t="s">
        <v>50</v>
      </c>
      <c r="I28" s="76" t="s">
        <v>113</v>
      </c>
      <c r="J28" s="76" t="s">
        <v>51</v>
      </c>
      <c r="K28" s="76" t="s">
        <v>52</v>
      </c>
      <c r="L28" s="76" t="s">
        <v>53</v>
      </c>
      <c r="M28" s="76" t="s">
        <v>54</v>
      </c>
      <c r="N28" s="76" t="s">
        <v>193</v>
      </c>
      <c r="O28" s="76" t="s">
        <v>4</v>
      </c>
      <c r="P28" s="76" t="s">
        <v>44</v>
      </c>
      <c r="Q28" s="76" t="s">
        <v>5</v>
      </c>
      <c r="R28" s="76" t="s">
        <v>109</v>
      </c>
      <c r="S28" s="76" t="s">
        <v>190</v>
      </c>
      <c r="T28" s="76" t="s">
        <v>55</v>
      </c>
      <c r="U28" s="76" t="s">
        <v>88</v>
      </c>
      <c r="V28" s="76" t="s">
        <v>56</v>
      </c>
    </row>
    <row r="29" spans="1:22" s="86" customFormat="1" ht="13.5" x14ac:dyDescent="0.25">
      <c r="A29" s="51" t="s">
        <v>215</v>
      </c>
      <c r="B29" s="51" t="s">
        <v>215</v>
      </c>
      <c r="C29" s="51" t="s">
        <v>170</v>
      </c>
      <c r="D29" s="51" t="s">
        <v>7</v>
      </c>
      <c r="E29" s="74" t="s">
        <v>216</v>
      </c>
      <c r="F29" s="114" t="s">
        <v>171</v>
      </c>
      <c r="G29" s="115" t="s">
        <v>129</v>
      </c>
      <c r="H29" s="115" t="s">
        <v>197</v>
      </c>
      <c r="I29" s="115" t="str">
        <f>CONCATENATE(Table_Query_from_MS_Access_Database_1[RTE],Table_Query_from_MS_Access_Database_1[SEC],Table_Query_from_MS_Access_Database_1[SEQ])</f>
        <v>ELY0HFX</v>
      </c>
      <c r="J29" s="112">
        <v>43374</v>
      </c>
      <c r="K29" s="112"/>
      <c r="L29" s="112"/>
      <c r="M29" s="112"/>
      <c r="N29" s="140"/>
      <c r="O29" s="140"/>
      <c r="P29" s="140"/>
      <c r="Q29" s="140"/>
      <c r="R29" s="139">
        <v>144000</v>
      </c>
      <c r="S29" s="92"/>
      <c r="T29" s="92"/>
      <c r="U29" s="92">
        <f>SUM(Table_Query_from_MS_Access_Database_1[[#This Row],[HURF EX]:[STP OTHER]])</f>
        <v>144000</v>
      </c>
      <c r="V29" s="141">
        <f>V23-Table_Query_from_MS_Access_Database_1[TOTAL OF AMOUNT]</f>
        <v>296788.75000000012</v>
      </c>
    </row>
    <row r="30" spans="1:22" s="86" customFormat="1" ht="13.5" x14ac:dyDescent="0.25">
      <c r="A30" s="56" t="s">
        <v>217</v>
      </c>
      <c r="B30" s="56"/>
      <c r="C30" s="56" t="s">
        <v>133</v>
      </c>
      <c r="D30" s="56" t="s">
        <v>7</v>
      </c>
      <c r="E30" s="74" t="s">
        <v>218</v>
      </c>
      <c r="F30" s="150" t="s">
        <v>174</v>
      </c>
      <c r="G30" s="115" t="s">
        <v>110</v>
      </c>
      <c r="H30" s="115" t="s">
        <v>219</v>
      </c>
      <c r="I30" s="115" t="str">
        <f>CONCATENATE(Table_Query_from_MS_Access_Database_1[RTE],Table_Query_from_MS_Access_Database_1[SEC],Table_Query_from_MS_Access_Database_1[SEQ])</f>
        <v>SCMS020</v>
      </c>
      <c r="J30" s="112">
        <v>43617</v>
      </c>
      <c r="K30" s="112"/>
      <c r="L30" s="112"/>
      <c r="M30" s="112"/>
      <c r="N30" s="140"/>
      <c r="O30" s="140"/>
      <c r="P30" s="140"/>
      <c r="Q30" s="140">
        <v>20700</v>
      </c>
      <c r="R30" s="139"/>
      <c r="S30" s="92"/>
      <c r="T30" s="92"/>
      <c r="U30" s="92">
        <f>SUM(Table_Query_from_MS_Access_Database_1[[#This Row],[HURF EX]:[STP OTHER]])</f>
        <v>20700</v>
      </c>
      <c r="V30" s="141">
        <f>V29-Table_Query_from_MS_Access_Database_1[TOTAL OF AMOUNT]</f>
        <v>276088.75000000012</v>
      </c>
    </row>
    <row r="31" spans="1:22" s="51" customFormat="1" ht="13.5" x14ac:dyDescent="0.25">
      <c r="A31" s="56" t="s">
        <v>220</v>
      </c>
      <c r="B31" s="56" t="s">
        <v>130</v>
      </c>
      <c r="C31" s="56" t="s">
        <v>133</v>
      </c>
      <c r="D31" s="56" t="s">
        <v>7</v>
      </c>
      <c r="E31" s="74" t="s">
        <v>221</v>
      </c>
      <c r="F31" s="150" t="s">
        <v>174</v>
      </c>
      <c r="G31" s="115" t="s">
        <v>112</v>
      </c>
      <c r="H31" s="115" t="s">
        <v>219</v>
      </c>
      <c r="I31" s="115" t="str">
        <f>CONCATENATE(Table_Query_from_MS_Access_Database_1[RTE],Table_Query_from_MS_Access_Database_1[SEC],Table_Query_from_MS_Access_Database_1[SEQ])</f>
        <v>SCMP020</v>
      </c>
      <c r="J31" s="112">
        <v>43617</v>
      </c>
      <c r="K31" s="112"/>
      <c r="L31" s="112"/>
      <c r="M31" s="112"/>
      <c r="N31" s="140"/>
      <c r="O31" s="140"/>
      <c r="P31" s="140">
        <v>42951.06</v>
      </c>
      <c r="Q31" s="140"/>
      <c r="R31" s="139"/>
      <c r="S31" s="92"/>
      <c r="T31" s="92"/>
      <c r="U31" s="92">
        <f>SUM(Table_Query_from_MS_Access_Database_1[[#This Row],[HURF EX]:[STP OTHER]])</f>
        <v>42951.06</v>
      </c>
      <c r="V31" s="141">
        <f>V30-Table_Query_from_MS_Access_Database_1[TOTAL OF AMOUNT]</f>
        <v>233137.69000000012</v>
      </c>
    </row>
    <row r="32" spans="1:22" s="86" customFormat="1" ht="13.5" x14ac:dyDescent="0.25">
      <c r="A32" s="56" t="s">
        <v>229</v>
      </c>
      <c r="B32" s="56" t="s">
        <v>130</v>
      </c>
      <c r="C32" s="56" t="s">
        <v>232</v>
      </c>
      <c r="D32" s="56" t="s">
        <v>7</v>
      </c>
      <c r="E32" s="74" t="s">
        <v>230</v>
      </c>
      <c r="F32" s="150" t="s">
        <v>204</v>
      </c>
      <c r="G32" s="115" t="s">
        <v>203</v>
      </c>
      <c r="H32" s="115" t="s">
        <v>231</v>
      </c>
      <c r="I32" s="115" t="str">
        <f>CONCATENATE(Table_Query_from_MS_Access_Database_1[RTE],Table_Query_from_MS_Access_Database_1[SEC],Table_Query_from_MS_Access_Database_1[SEQ])</f>
        <v>094ATBD</v>
      </c>
      <c r="J32" s="112">
        <v>43466</v>
      </c>
      <c r="K32" s="112"/>
      <c r="L32" s="112"/>
      <c r="M32" s="112"/>
      <c r="N32" s="140"/>
      <c r="O32" s="140"/>
      <c r="P32" s="140"/>
      <c r="Q32" s="140"/>
      <c r="R32" s="139"/>
      <c r="S32" s="92">
        <v>500</v>
      </c>
      <c r="T32" s="92"/>
      <c r="U32" s="92">
        <f>SUM(Table_Query_from_MS_Access_Database_1[[#This Row],[HURF EX]:[STP OTHER]])</f>
        <v>500</v>
      </c>
      <c r="V32" s="141">
        <f>V31-Table_Query_from_MS_Access_Database_1[TOTAL OF AMOUNT]</f>
        <v>232637.69000000012</v>
      </c>
    </row>
    <row r="33" spans="1:22" s="51" customFormat="1" ht="13.5" x14ac:dyDescent="0.25">
      <c r="A33" s="56" t="s">
        <v>227</v>
      </c>
      <c r="B33" s="56" t="s">
        <v>228</v>
      </c>
      <c r="C33" s="56" t="s">
        <v>170</v>
      </c>
      <c r="D33" s="56" t="s">
        <v>7</v>
      </c>
      <c r="E33" s="74" t="s">
        <v>177</v>
      </c>
      <c r="F33" s="150" t="s">
        <v>171</v>
      </c>
      <c r="G33" s="115" t="s">
        <v>129</v>
      </c>
      <c r="H33" s="115" t="s">
        <v>197</v>
      </c>
      <c r="I33" s="115" t="str">
        <f>CONCATENATE(Table_Query_from_MS_Access_Database_1[RTE],Table_Query_from_MS_Access_Database_1[SEC],Table_Query_from_MS_Access_Database_1[SEQ])</f>
        <v>ELY0HFX</v>
      </c>
      <c r="J33" s="112">
        <v>43646</v>
      </c>
      <c r="K33" s="112"/>
      <c r="L33" s="112"/>
      <c r="M33" s="112"/>
      <c r="N33" s="140">
        <v>351929</v>
      </c>
      <c r="O33" s="140"/>
      <c r="P33" s="140"/>
      <c r="Q33" s="140"/>
      <c r="R33" s="139"/>
      <c r="S33" s="92"/>
      <c r="T33" s="92"/>
      <c r="U33" s="92">
        <f>SUM(Table_Query_from_MS_Access_Database_1[[#This Row],[HURF EX]:[STP OTHER]])</f>
        <v>351929</v>
      </c>
      <c r="V33" s="141">
        <f>V32-Table_Query_from_MS_Access_Database_1[TOTAL OF AMOUNT]</f>
        <v>-119291.30999999988</v>
      </c>
    </row>
    <row r="34" spans="1:22" s="86" customFormat="1" ht="13.5" x14ac:dyDescent="0.25">
      <c r="A34" s="56"/>
      <c r="B34" s="56"/>
      <c r="C34" s="56"/>
      <c r="D34" s="56"/>
      <c r="E34" s="74"/>
      <c r="F34" s="150"/>
      <c r="G34" s="115"/>
      <c r="H34" s="115"/>
      <c r="I34" s="115"/>
      <c r="J34" s="112"/>
      <c r="K34" s="112"/>
      <c r="L34" s="112"/>
      <c r="M34" s="112"/>
      <c r="N34" s="140"/>
      <c r="O34" s="140"/>
      <c r="P34" s="140"/>
      <c r="Q34" s="140"/>
      <c r="R34" s="139"/>
      <c r="S34" s="92"/>
      <c r="T34" s="92"/>
      <c r="U34" s="92"/>
      <c r="V34" s="141"/>
    </row>
    <row r="35" spans="1:22" s="86" customFormat="1" ht="13.5" x14ac:dyDescent="0.25">
      <c r="A35" s="51"/>
      <c r="B35" s="51"/>
      <c r="C35" s="51"/>
      <c r="D35" s="51"/>
      <c r="E35" s="74"/>
      <c r="F35" s="114"/>
      <c r="G35" s="115"/>
      <c r="H35" s="115"/>
      <c r="I35" s="115"/>
      <c r="J35" s="112"/>
      <c r="K35" s="112"/>
      <c r="L35" s="112"/>
      <c r="M35" s="112"/>
      <c r="N35" s="140"/>
      <c r="O35" s="140"/>
      <c r="P35" s="140"/>
      <c r="Q35" s="140"/>
      <c r="R35" s="139"/>
      <c r="S35" s="92"/>
      <c r="T35" s="92"/>
      <c r="U35" s="92"/>
      <c r="V35" s="141"/>
    </row>
    <row r="36" spans="1:22" s="51" customFormat="1" ht="13.5" x14ac:dyDescent="0.25">
      <c r="J36" s="56"/>
      <c r="K36" s="56"/>
      <c r="L36" s="56"/>
      <c r="M36" s="77" t="s">
        <v>89</v>
      </c>
      <c r="N36" s="143">
        <f>SUM(Table_Query_from_MS_Access_Database_1[[#All],[HURF EX]])</f>
        <v>351929</v>
      </c>
      <c r="O36" s="143">
        <f>SUM(Table_Query_from_MS_Access_Database_1[[#All],[HSIP]])</f>
        <v>0</v>
      </c>
      <c r="P36" s="143">
        <f>SUM(Table_Query_from_MS_Access_Database_1[[#All],[PL]])</f>
        <v>42951.06</v>
      </c>
      <c r="Q36" s="143">
        <f>SUM(Table_Query_from_MS_Access_Database_1[[#All],[SPR]])</f>
        <v>20700</v>
      </c>
      <c r="R36" s="143">
        <f>SUM(Table_Query_from_MS_Access_Database_1[[#All],[STP &lt;5]])</f>
        <v>144000</v>
      </c>
      <c r="S36" s="143">
        <f>SUM(Table_Query_from_MS_Access_Database_1[[#All],[STP 5-200]])</f>
        <v>500</v>
      </c>
      <c r="T36" s="143">
        <f>SUM(Table_Query_from_MS_Access_Database_1[[#All],[STP OTHER]])</f>
        <v>0</v>
      </c>
      <c r="U36" s="143">
        <f>SUM(Table_Query_from_MS_Access_Database_1[[#All],[TOTAL OF AMOUNT]])</f>
        <v>560080.06000000006</v>
      </c>
      <c r="V36" s="92"/>
    </row>
    <row r="37" spans="1:22" s="51" customFormat="1" ht="27" x14ac:dyDescent="0.25">
      <c r="J37" s="56"/>
      <c r="K37" s="56"/>
      <c r="L37" s="56"/>
      <c r="M37" s="78" t="s">
        <v>78</v>
      </c>
      <c r="N37" s="93">
        <f t="shared" ref="N37:U37" si="2">+N25-N36</f>
        <v>0</v>
      </c>
      <c r="O37" s="93">
        <f t="shared" si="2"/>
        <v>17804.920000000002</v>
      </c>
      <c r="P37" s="93">
        <f t="shared" si="2"/>
        <v>0</v>
      </c>
      <c r="Q37" s="93">
        <f t="shared" si="2"/>
        <v>12537.73000000001</v>
      </c>
      <c r="R37" s="93">
        <f t="shared" si="2"/>
        <v>36739</v>
      </c>
      <c r="S37" s="93">
        <f t="shared" si="2"/>
        <v>-252731</v>
      </c>
      <c r="T37" s="93">
        <f t="shared" si="2"/>
        <v>110154.04</v>
      </c>
      <c r="U37" s="93">
        <f t="shared" si="2"/>
        <v>-75495.310000000056</v>
      </c>
      <c r="V37" s="92"/>
    </row>
    <row r="38" spans="1:22" s="51" customFormat="1" x14ac:dyDescent="0.25">
      <c r="A38" s="48"/>
      <c r="B38" s="48"/>
      <c r="C38" s="48"/>
      <c r="D38" s="48"/>
      <c r="E38" s="48"/>
      <c r="F38" s="48"/>
      <c r="G38" s="48"/>
      <c r="H38" s="48"/>
      <c r="I38" s="48"/>
      <c r="J38" s="50"/>
      <c r="K38" s="50"/>
      <c r="L38" s="50"/>
      <c r="M38" s="50"/>
      <c r="N38" s="50">
        <f>N24+N36</f>
        <v>351929</v>
      </c>
      <c r="O38" s="50">
        <f t="shared" ref="O38:U38" si="3">O24+O36</f>
        <v>-17804.920000000002</v>
      </c>
      <c r="P38" s="50">
        <f t="shared" si="3"/>
        <v>120824.99999999999</v>
      </c>
      <c r="Q38" s="50">
        <f t="shared" si="3"/>
        <v>112462.26999999999</v>
      </c>
      <c r="R38" s="50">
        <f t="shared" si="3"/>
        <v>144000</v>
      </c>
      <c r="S38" s="50">
        <f t="shared" si="3"/>
        <v>500</v>
      </c>
      <c r="T38" s="50">
        <f t="shared" si="3"/>
        <v>0</v>
      </c>
      <c r="U38" s="50">
        <f t="shared" si="3"/>
        <v>711911.35000000009</v>
      </c>
    </row>
    <row r="39" spans="1:22" s="51" customFormat="1" x14ac:dyDescent="0.25">
      <c r="A39" s="48"/>
      <c r="B39" s="48"/>
      <c r="C39" s="48"/>
      <c r="D39" s="48"/>
      <c r="E39" s="48"/>
      <c r="F39" s="48"/>
      <c r="G39" s="48"/>
      <c r="H39" s="48"/>
      <c r="I39" s="48"/>
      <c r="J39" s="50"/>
      <c r="K39" s="50"/>
      <c r="L39" s="50"/>
      <c r="M39" s="50"/>
      <c r="N39" s="50"/>
      <c r="O39" s="50"/>
      <c r="P39" s="50"/>
      <c r="Q39" s="50"/>
      <c r="R39" s="48"/>
      <c r="S39" s="48"/>
      <c r="T39" s="56"/>
      <c r="U39" s="86"/>
    </row>
    <row r="40" spans="1:22" s="51" customFormat="1" ht="17.25" x14ac:dyDescent="0.25">
      <c r="A40" s="57" t="s">
        <v>80</v>
      </c>
      <c r="B40" s="48"/>
      <c r="C40" s="48"/>
      <c r="D40" s="48"/>
      <c r="E40" s="48"/>
      <c r="F40" s="48"/>
      <c r="G40" s="48"/>
      <c r="H40" s="48"/>
      <c r="I40" s="48"/>
      <c r="J40" s="50"/>
      <c r="K40" s="50"/>
      <c r="L40" s="50"/>
      <c r="M40" s="50"/>
      <c r="N40" s="160" t="s">
        <v>61</v>
      </c>
      <c r="O40" s="160"/>
      <c r="P40" s="160"/>
      <c r="Q40" s="160"/>
      <c r="R40" s="52"/>
      <c r="S40" s="48"/>
      <c r="T40" s="56"/>
      <c r="V40" s="48"/>
    </row>
    <row r="41" spans="1:22" s="51" customFormat="1" ht="13.5" x14ac:dyDescent="0.25">
      <c r="J41" s="56"/>
      <c r="K41" s="56"/>
      <c r="L41" s="56"/>
      <c r="M41" s="94"/>
      <c r="N41" s="118" t="s">
        <v>193</v>
      </c>
      <c r="O41" s="118" t="s">
        <v>4</v>
      </c>
      <c r="P41" s="118" t="s">
        <v>44</v>
      </c>
      <c r="Q41" s="118" t="s">
        <v>5</v>
      </c>
      <c r="R41" s="118" t="s">
        <v>109</v>
      </c>
      <c r="S41" s="118" t="s">
        <v>190</v>
      </c>
      <c r="T41" s="118" t="s">
        <v>55</v>
      </c>
      <c r="U41" s="118" t="s">
        <v>57</v>
      </c>
      <c r="V41" s="95" t="s">
        <v>62</v>
      </c>
    </row>
    <row r="42" spans="1:22" s="51" customFormat="1" ht="13.5" x14ac:dyDescent="0.25">
      <c r="J42" s="56"/>
      <c r="K42" s="56"/>
      <c r="L42" s="56"/>
      <c r="M42" s="88" t="s">
        <v>206</v>
      </c>
      <c r="N42" s="90">
        <f>+N37</f>
        <v>0</v>
      </c>
      <c r="O42" s="90">
        <f>+O37</f>
        <v>17804.920000000002</v>
      </c>
      <c r="P42" s="90">
        <f t="shared" ref="P42:T42" si="4">+P37</f>
        <v>0</v>
      </c>
      <c r="Q42" s="90">
        <f t="shared" si="4"/>
        <v>12537.73000000001</v>
      </c>
      <c r="R42" s="90">
        <f t="shared" si="4"/>
        <v>36739</v>
      </c>
      <c r="S42" s="90">
        <f t="shared" si="4"/>
        <v>-252731</v>
      </c>
      <c r="T42" s="90">
        <f t="shared" si="4"/>
        <v>110154.04</v>
      </c>
      <c r="U42" s="90">
        <f>SUM(N42:T42)</f>
        <v>-75495.309999999983</v>
      </c>
      <c r="V42" s="90">
        <f>V35</f>
        <v>0</v>
      </c>
    </row>
    <row r="43" spans="1:22" s="51" customFormat="1" ht="13.5" x14ac:dyDescent="0.25">
      <c r="J43" s="56"/>
      <c r="K43" s="56"/>
      <c r="L43" s="56"/>
      <c r="M43" s="88" t="s">
        <v>207</v>
      </c>
      <c r="N43" s="117">
        <f>SUMIFS(Table_Query_from_MS_Access_Database[[#All],[Notes]],Table_Query_from_MS_Access_Database[[#All],[Transaction Year]],"2019",Table_Query_from_MS_Access_Database[[#All],[Transaction Type]],"Lapsing")</f>
        <v>0</v>
      </c>
      <c r="O43" s="117">
        <f>SUMIFS(Table_Query_from_MS_Access_Database[[#All],[Notes]],Table_Query_from_MS_Access_Database[[#All],[Transaction Year]],"2019",Table_Query_from_MS_Access_Database[[#All],[Transaction Type]],"Lapsing")</f>
        <v>0</v>
      </c>
      <c r="P43" s="117">
        <f>SUMIFS(Table_Query_from_MS_Access_Database[[#All],[Notes]],Table_Query_from_MS_Access_Database[[#All],[Transaction Year]],"2019",Table_Query_from_MS_Access_Database[[#All],[Transaction Type]],"Lapsing")</f>
        <v>0</v>
      </c>
      <c r="Q43" s="117">
        <f>SUMIFS(Table_Query_from_MS_Access_Database[[#All],[Notes]],Table_Query_from_MS_Access_Database[[#All],[Transaction Year]],"2019",Table_Query_from_MS_Access_Database[[#All],[Transaction Type]],"Lapsing")</f>
        <v>0</v>
      </c>
      <c r="R43" s="117">
        <f>SUMIFS(Table_Query_from_MS_Access_Database[[#All],[Notes]],Table_Query_from_MS_Access_Database[[#All],[Transaction Year]],"2019",Table_Query_from_MS_Access_Database[[#All],[Transaction Type]],"Lapsing")</f>
        <v>0</v>
      </c>
      <c r="S43" s="117">
        <f>SUMIFS(Table_Query_from_MS_Access_Database[[#All],[Notes]],Table_Query_from_MS_Access_Database[[#All],[Transaction Year]],"2019",Table_Query_from_MS_Access_Database[[#All],[Transaction Type]],"Lapsing")</f>
        <v>0</v>
      </c>
      <c r="T43" s="117">
        <f>SUMIFS(Table_Query_from_MS_Access_Database[[#All],[Notes]],Table_Query_from_MS_Access_Database[[#All],[Transaction Year]],"2019",Table_Query_from_MS_Access_Database[[#All],[Transaction Type]],"Lapsing")</f>
        <v>0</v>
      </c>
      <c r="U43" s="117">
        <f>SUM(N43:R43)</f>
        <v>0</v>
      </c>
      <c r="V43" s="117">
        <f>SUMIFS(Table_Query_from_MS_Access_Database_16[[#All],[To]],Table_Query_from_MS_Access_Database_16[[#All],[Transaction Year]],"2019",Table_Query_from_MS_Access_Database_16[[#All],[Transaction Type]],"Lapsing")</f>
        <v>0</v>
      </c>
    </row>
    <row r="44" spans="1:22" s="51" customFormat="1" ht="13.5" x14ac:dyDescent="0.25">
      <c r="J44" s="56"/>
      <c r="K44" s="56"/>
      <c r="L44" s="56"/>
      <c r="M44" s="88" t="s">
        <v>208</v>
      </c>
      <c r="N44" s="91">
        <f t="shared" ref="N44:O44" si="5">SUM(N42:N43)</f>
        <v>0</v>
      </c>
      <c r="O44" s="91">
        <f t="shared" si="5"/>
        <v>17804.920000000002</v>
      </c>
      <c r="P44" s="91">
        <f t="shared" ref="P44:T44" si="6">SUM(P42:P43)</f>
        <v>0</v>
      </c>
      <c r="Q44" s="91">
        <f t="shared" si="6"/>
        <v>12537.73000000001</v>
      </c>
      <c r="R44" s="91">
        <f t="shared" si="6"/>
        <v>36739</v>
      </c>
      <c r="S44" s="91">
        <f t="shared" si="6"/>
        <v>-252731</v>
      </c>
      <c r="T44" s="91">
        <f t="shared" si="6"/>
        <v>110154.04</v>
      </c>
      <c r="U44" s="91">
        <f>SUM(N44:T44)</f>
        <v>-75495.309999999983</v>
      </c>
      <c r="V44" s="91">
        <f>SUM(V42:V43)</f>
        <v>0</v>
      </c>
    </row>
    <row r="45" spans="1:22" x14ac:dyDescent="0.25">
      <c r="A45" s="51"/>
      <c r="B45" s="51"/>
      <c r="C45" s="51"/>
      <c r="D45" s="51"/>
      <c r="E45" s="51"/>
      <c r="F45" s="51"/>
      <c r="G45" s="51"/>
      <c r="H45" s="51"/>
      <c r="I45" s="51"/>
      <c r="J45" s="56"/>
      <c r="K45" s="56"/>
      <c r="L45" s="56"/>
      <c r="M45" s="89" t="s">
        <v>209</v>
      </c>
      <c r="N45" s="117">
        <f>+N42-N37</f>
        <v>0</v>
      </c>
      <c r="O45" s="117">
        <f>+O42-O37</f>
        <v>0</v>
      </c>
      <c r="P45" s="117">
        <f t="shared" ref="P45:T45" si="7">+P42-P37</f>
        <v>0</v>
      </c>
      <c r="Q45" s="117">
        <f t="shared" si="7"/>
        <v>0</v>
      </c>
      <c r="R45" s="117">
        <f t="shared" si="7"/>
        <v>0</v>
      </c>
      <c r="S45" s="117">
        <f t="shared" si="7"/>
        <v>0</v>
      </c>
      <c r="T45" s="117">
        <f t="shared" si="7"/>
        <v>0</v>
      </c>
      <c r="U45" s="117">
        <v>0</v>
      </c>
      <c r="V45" s="117">
        <v>0</v>
      </c>
    </row>
  </sheetData>
  <sheetProtection autoFilter="0"/>
  <mergeCells count="10">
    <mergeCell ref="N40:Q40"/>
    <mergeCell ref="A1:F1"/>
    <mergeCell ref="A14:D14"/>
    <mergeCell ref="A9:L9"/>
    <mergeCell ref="A3:D3"/>
    <mergeCell ref="A4:D4"/>
    <mergeCell ref="J14:M14"/>
    <mergeCell ref="A27:D27"/>
    <mergeCell ref="N2:U2"/>
    <mergeCell ref="N1:U1"/>
  </mergeCells>
  <pageMargins left="0.5" right="0.25" top="0.75" bottom="0.5" header="0.3" footer="0.3"/>
  <pageSetup paperSize="17" scale="75" fitToHeight="0" orientation="landscape" horizontalDpi="1200" verticalDpi="1200" r:id="rId1"/>
  <headerFooter>
    <oddFooter>&amp;L&amp;8&amp;Z&amp;F&amp;R&amp;P of &amp;N</oddFooter>
  </headerFooter>
  <tableParts count="3">
    <tablePart r:id="rId2"/>
    <tablePart r:id="rId3"/>
    <tablePart r:id="rId4"/>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AR91"/>
  <sheetViews>
    <sheetView zoomScaleNormal="100" workbookViewId="0">
      <selection sqref="A1:F1"/>
    </sheetView>
  </sheetViews>
  <sheetFormatPr defaultColWidth="19.7109375" defaultRowHeight="15" x14ac:dyDescent="0.25"/>
  <cols>
    <col min="1" max="1" width="19.5703125" style="25" customWidth="1"/>
    <col min="2" max="2" width="19.85546875" style="25" customWidth="1"/>
    <col min="3" max="3" width="22.7109375" style="25" customWidth="1"/>
    <col min="4" max="5" width="10.5703125" style="25" customWidth="1"/>
    <col min="6" max="6" width="19.5703125" style="25" customWidth="1"/>
    <col min="7" max="7" width="25.7109375" style="25" customWidth="1"/>
    <col min="8" max="8" width="43" style="26" customWidth="1"/>
    <col min="9" max="9" width="12.42578125" style="25" customWidth="1"/>
    <col min="10" max="10" width="10.42578125" style="25" customWidth="1"/>
    <col min="11" max="11" width="12.85546875" style="25" customWidth="1"/>
    <col min="12" max="12" width="18.42578125" style="25" customWidth="1"/>
    <col min="13" max="13" width="12.42578125" style="25" customWidth="1"/>
    <col min="14" max="14" width="10.42578125" style="25" customWidth="1"/>
    <col min="15" max="15" width="11.42578125" style="25" customWidth="1"/>
    <col min="16" max="16" width="10.28515625" style="25" customWidth="1"/>
    <col min="17" max="18" width="12.42578125" style="25" customWidth="1"/>
    <col min="19" max="20" width="12.28515625" style="25" customWidth="1"/>
    <col min="21" max="21" width="12.5703125" style="25" customWidth="1"/>
    <col min="22" max="22" width="10.140625" style="25" customWidth="1"/>
    <col min="23" max="28" width="12.28515625" style="25" customWidth="1"/>
    <col min="29" max="29" width="10.140625" style="25" customWidth="1"/>
    <col min="30" max="30" width="10.7109375" style="25" customWidth="1"/>
    <col min="31" max="31" width="12.7109375" style="25" customWidth="1"/>
    <col min="32" max="32" width="16.5703125" style="25" customWidth="1"/>
    <col min="33" max="33" width="11.7109375" style="25" customWidth="1"/>
    <col min="34" max="34" width="15.7109375" style="25" customWidth="1"/>
    <col min="35" max="35" width="13.42578125" style="25" customWidth="1"/>
    <col min="36" max="36" width="15.7109375" style="25" customWidth="1"/>
    <col min="37" max="38" width="9.5703125" style="25" customWidth="1"/>
    <col min="39" max="39" width="11.85546875" style="25" customWidth="1"/>
    <col min="40" max="40" width="64.28515625" style="25" customWidth="1"/>
    <col min="41" max="41" width="14" style="25" customWidth="1"/>
    <col min="42" max="42" width="16.85546875" style="25" customWidth="1"/>
    <col min="43" max="43" width="12.140625" style="25" customWidth="1"/>
    <col min="44" max="44" width="16" style="25" customWidth="1"/>
    <col min="45" max="16384" width="19.7109375" style="9"/>
  </cols>
  <sheetData>
    <row r="1" spans="1:44" ht="18" x14ac:dyDescent="0.3">
      <c r="A1" s="172" t="str">
        <f>+'Federal Funds Transactions'!A1:F1</f>
        <v>Sun Corridor Metropolitan Planning Organization</v>
      </c>
      <c r="B1" s="172"/>
      <c r="C1" s="172"/>
      <c r="D1" s="172"/>
      <c r="E1" s="172"/>
      <c r="F1" s="172"/>
    </row>
    <row r="2" spans="1:44" ht="14.45" x14ac:dyDescent="0.3">
      <c r="A2" s="27"/>
      <c r="B2" s="27"/>
      <c r="C2" s="27"/>
      <c r="D2" s="27"/>
      <c r="E2" s="27"/>
      <c r="F2" s="27"/>
    </row>
    <row r="3" spans="1:44" ht="14.45" x14ac:dyDescent="0.3">
      <c r="A3" s="173" t="s">
        <v>86</v>
      </c>
      <c r="B3" s="173"/>
      <c r="C3" s="173"/>
      <c r="D3" s="173"/>
      <c r="E3" s="173"/>
      <c r="F3" s="173"/>
    </row>
    <row r="4" spans="1:44" ht="14.45" x14ac:dyDescent="0.3">
      <c r="A4" s="28"/>
      <c r="B4" s="28"/>
      <c r="C4" s="28"/>
      <c r="D4" s="28"/>
      <c r="E4" s="28"/>
      <c r="F4" s="28"/>
    </row>
    <row r="5" spans="1:44" ht="14.45" x14ac:dyDescent="0.3">
      <c r="A5" s="25" t="s">
        <v>85</v>
      </c>
      <c r="B5" s="64">
        <f>+'Federal Funds Transactions'!C5</f>
        <v>43465</v>
      </c>
      <c r="C5" s="27"/>
      <c r="D5" s="27"/>
      <c r="E5" s="27"/>
      <c r="F5" s="27"/>
    </row>
    <row r="6" spans="1:44" ht="14.45" x14ac:dyDescent="0.3">
      <c r="A6" s="27"/>
      <c r="B6" s="27"/>
      <c r="C6" s="27"/>
      <c r="D6" s="27"/>
      <c r="E6" s="27"/>
      <c r="F6" s="27"/>
    </row>
    <row r="7" spans="1:44" ht="15" customHeight="1" x14ac:dyDescent="0.3">
      <c r="A7" s="176" t="str">
        <f>+'Federal Funds Transactions'!A9:L9</f>
        <v>IMPORTANT! Please review the information in the Notes tab for further explanation of the data in this document.</v>
      </c>
      <c r="B7" s="176"/>
      <c r="C7" s="176"/>
      <c r="D7" s="176"/>
      <c r="E7" s="176"/>
      <c r="F7" s="176"/>
      <c r="G7" s="176"/>
      <c r="H7" s="176"/>
    </row>
    <row r="9" spans="1:44" ht="15.75" customHeight="1" x14ac:dyDescent="0.3">
      <c r="A9" s="174" t="s">
        <v>82</v>
      </c>
      <c r="B9" s="174"/>
      <c r="C9" s="174"/>
      <c r="D9" s="174"/>
      <c r="E9" s="174"/>
      <c r="F9" s="174"/>
      <c r="G9" s="174"/>
      <c r="M9" s="29"/>
      <c r="N9" s="29"/>
      <c r="O9" s="29"/>
      <c r="P9" s="29"/>
      <c r="Q9" s="29"/>
      <c r="R9" s="29"/>
      <c r="S9" s="29"/>
      <c r="T9" s="29"/>
      <c r="U9" s="29"/>
      <c r="V9" s="29"/>
      <c r="W9" s="29"/>
      <c r="X9" s="29"/>
      <c r="Y9" s="29"/>
      <c r="Z9" s="29"/>
      <c r="AA9" s="29"/>
      <c r="AB9" s="29"/>
      <c r="AC9" s="29"/>
      <c r="AD9" s="29"/>
      <c r="AE9" s="29"/>
      <c r="AF9" s="29"/>
      <c r="AG9" s="29"/>
      <c r="AH9" s="29"/>
      <c r="AI9" s="29"/>
      <c r="AJ9" s="29"/>
      <c r="AK9" s="29"/>
      <c r="AL9" s="29"/>
      <c r="AM9" s="29"/>
      <c r="AN9" s="29"/>
      <c r="AO9" s="29"/>
      <c r="AP9" s="29"/>
    </row>
    <row r="10" spans="1:44" ht="15.6" x14ac:dyDescent="0.3">
      <c r="A10" s="30"/>
      <c r="B10" s="30"/>
      <c r="C10" s="30"/>
      <c r="D10" s="30"/>
      <c r="E10" s="31"/>
      <c r="F10" s="31"/>
      <c r="G10" s="31"/>
      <c r="H10" s="32"/>
      <c r="I10" s="31"/>
      <c r="J10" s="31"/>
      <c r="K10" s="31"/>
      <c r="L10" s="31"/>
      <c r="M10" s="29"/>
      <c r="N10" s="29"/>
      <c r="O10" s="29"/>
      <c r="P10" s="29"/>
      <c r="Q10" s="29"/>
      <c r="R10" s="29"/>
      <c r="S10" s="29"/>
      <c r="T10" s="29"/>
      <c r="U10" s="29"/>
      <c r="V10" s="29"/>
      <c r="W10" s="29"/>
      <c r="X10" s="29"/>
      <c r="Y10" s="29"/>
      <c r="Z10" s="29"/>
      <c r="AA10" s="29"/>
      <c r="AB10" s="29"/>
      <c r="AC10" s="29"/>
      <c r="AD10" s="29"/>
      <c r="AE10" s="29"/>
      <c r="AF10" s="29"/>
      <c r="AG10" s="29"/>
      <c r="AH10" s="29"/>
      <c r="AI10" s="29"/>
      <c r="AJ10" s="29"/>
      <c r="AK10" s="29"/>
      <c r="AL10" s="29"/>
      <c r="AM10" s="29"/>
      <c r="AN10" s="29"/>
      <c r="AO10" s="29"/>
      <c r="AP10" s="29"/>
      <c r="AQ10" s="31"/>
      <c r="AR10" s="31"/>
    </row>
    <row r="11" spans="1:44" x14ac:dyDescent="0.25">
      <c r="A11" s="71" t="s">
        <v>45</v>
      </c>
      <c r="B11" s="72" t="s">
        <v>46</v>
      </c>
      <c r="C11" s="72" t="s">
        <v>13</v>
      </c>
      <c r="D11" s="72" t="s">
        <v>91</v>
      </c>
      <c r="E11" s="72" t="s">
        <v>92</v>
      </c>
      <c r="F11" s="72" t="s">
        <v>47</v>
      </c>
      <c r="G11" s="72" t="s">
        <v>93</v>
      </c>
      <c r="H11" s="72" t="s">
        <v>94</v>
      </c>
      <c r="I11" s="72" t="s">
        <v>10</v>
      </c>
      <c r="J11" s="72" t="s">
        <v>43</v>
      </c>
      <c r="K11" s="72" t="s">
        <v>180</v>
      </c>
      <c r="L11" s="72" t="s">
        <v>192</v>
      </c>
      <c r="M11" s="72" t="s">
        <v>4</v>
      </c>
      <c r="N11" s="72" t="s">
        <v>181</v>
      </c>
      <c r="O11" s="72" t="s">
        <v>5</v>
      </c>
      <c r="P11" s="72" t="s">
        <v>109</v>
      </c>
      <c r="Q11" s="72" t="s">
        <v>115</v>
      </c>
      <c r="R11" s="72" t="s">
        <v>182</v>
      </c>
      <c r="S11" s="72" t="s">
        <v>183</v>
      </c>
      <c r="T11" s="72" t="s">
        <v>184</v>
      </c>
      <c r="U11" s="72" t="s">
        <v>185</v>
      </c>
      <c r="V11" s="31"/>
      <c r="W11" s="31"/>
      <c r="X11" s="31"/>
      <c r="Y11" s="31"/>
      <c r="Z11" s="31"/>
      <c r="AA11" s="31"/>
      <c r="AB11" s="31"/>
      <c r="AC11" s="31"/>
      <c r="AD11" s="31"/>
      <c r="AE11" s="31"/>
      <c r="AF11" s="9"/>
      <c r="AG11" s="9"/>
      <c r="AH11" s="9"/>
      <c r="AI11" s="9"/>
      <c r="AJ11" s="9"/>
      <c r="AK11" s="9"/>
      <c r="AL11" s="9"/>
      <c r="AM11" s="9"/>
      <c r="AN11" s="9"/>
      <c r="AO11" s="9"/>
      <c r="AP11" s="9"/>
      <c r="AQ11" s="9"/>
      <c r="AR11" s="9"/>
    </row>
    <row r="12" spans="1:44" x14ac:dyDescent="0.25">
      <c r="A12" s="60" t="s">
        <v>100</v>
      </c>
      <c r="B12" s="58" t="s">
        <v>104</v>
      </c>
      <c r="C12" s="58" t="s">
        <v>132</v>
      </c>
      <c r="D12" s="58" t="s">
        <v>133</v>
      </c>
      <c r="E12" s="58" t="s">
        <v>99</v>
      </c>
      <c r="F12" s="58" t="s">
        <v>105</v>
      </c>
      <c r="G12" s="58"/>
      <c r="H12" s="58" t="s">
        <v>134</v>
      </c>
      <c r="I12" s="58">
        <v>-86599.75</v>
      </c>
      <c r="J12" s="58"/>
      <c r="K12" s="58"/>
      <c r="L12" s="58"/>
      <c r="M12" s="59">
        <v>-25561</v>
      </c>
      <c r="N12" s="59">
        <v>-5973</v>
      </c>
      <c r="O12" s="130">
        <v>-15245.75</v>
      </c>
      <c r="P12" s="130"/>
      <c r="Q12" s="130"/>
      <c r="R12" s="130">
        <v>-39820</v>
      </c>
      <c r="S12" s="130"/>
      <c r="T12" s="130"/>
      <c r="U12" s="137"/>
      <c r="V12" s="130"/>
      <c r="W12" s="130"/>
      <c r="X12" s="130"/>
      <c r="Y12" s="130"/>
      <c r="Z12" s="130"/>
      <c r="AA12" s="130"/>
      <c r="AB12" s="69"/>
      <c r="AC12" s="69"/>
      <c r="AD12" s="69"/>
      <c r="AE12" s="69"/>
      <c r="AF12" s="9"/>
      <c r="AG12" s="9"/>
      <c r="AH12" s="9"/>
      <c r="AI12" s="9"/>
      <c r="AJ12" s="9"/>
      <c r="AK12" s="9"/>
      <c r="AL12" s="9"/>
      <c r="AM12" s="9"/>
      <c r="AN12" s="9"/>
      <c r="AO12" s="9"/>
      <c r="AP12" s="9"/>
      <c r="AQ12" s="9"/>
      <c r="AR12" s="9"/>
    </row>
    <row r="13" spans="1:44" x14ac:dyDescent="0.25">
      <c r="A13" s="61" t="s">
        <v>100</v>
      </c>
      <c r="B13" s="59" t="s">
        <v>125</v>
      </c>
      <c r="C13" s="59" t="s">
        <v>135</v>
      </c>
      <c r="D13" s="59" t="s">
        <v>136</v>
      </c>
      <c r="E13" s="59" t="s">
        <v>133</v>
      </c>
      <c r="F13" s="59" t="s">
        <v>101</v>
      </c>
      <c r="G13" s="59" t="s">
        <v>137</v>
      </c>
      <c r="H13" s="59" t="s">
        <v>138</v>
      </c>
      <c r="I13" s="59">
        <v>127122</v>
      </c>
      <c r="J13" s="59"/>
      <c r="K13" s="59"/>
      <c r="L13" s="59"/>
      <c r="M13" s="59">
        <v>127122</v>
      </c>
      <c r="N13" s="59"/>
      <c r="O13" s="130"/>
      <c r="P13" s="130"/>
      <c r="Q13" s="130"/>
      <c r="R13" s="130"/>
      <c r="S13" s="130"/>
      <c r="T13" s="130"/>
      <c r="U13" s="137"/>
      <c r="V13" s="130"/>
      <c r="W13" s="130"/>
      <c r="X13" s="130"/>
      <c r="Y13" s="130"/>
      <c r="Z13" s="130"/>
      <c r="AA13" s="130"/>
      <c r="AB13" s="69"/>
      <c r="AC13" s="69"/>
      <c r="AD13" s="69"/>
      <c r="AE13" s="69"/>
      <c r="AF13" s="9"/>
      <c r="AG13" s="9"/>
      <c r="AH13" s="9"/>
      <c r="AI13" s="9"/>
      <c r="AJ13" s="9"/>
      <c r="AK13" s="9"/>
      <c r="AL13" s="9"/>
      <c r="AM13" s="9"/>
      <c r="AN13" s="9"/>
      <c r="AO13" s="9"/>
      <c r="AP13" s="9"/>
      <c r="AQ13" s="9"/>
      <c r="AR13" s="9"/>
    </row>
    <row r="14" spans="1:44" x14ac:dyDescent="0.25">
      <c r="A14" s="61" t="s">
        <v>100</v>
      </c>
      <c r="B14" s="59" t="s">
        <v>118</v>
      </c>
      <c r="C14" s="59" t="s">
        <v>139</v>
      </c>
      <c r="D14" s="59" t="s">
        <v>140</v>
      </c>
      <c r="E14" s="59" t="s">
        <v>133</v>
      </c>
      <c r="F14" s="59" t="s">
        <v>105</v>
      </c>
      <c r="G14" s="59" t="s">
        <v>141</v>
      </c>
      <c r="H14" s="59" t="s">
        <v>142</v>
      </c>
      <c r="I14" s="59">
        <v>158061</v>
      </c>
      <c r="J14" s="59"/>
      <c r="K14" s="59"/>
      <c r="L14" s="59"/>
      <c r="M14" s="59"/>
      <c r="N14" s="59"/>
      <c r="O14" s="130"/>
      <c r="P14" s="130"/>
      <c r="Q14" s="130"/>
      <c r="R14" s="130">
        <v>158061</v>
      </c>
      <c r="S14" s="130"/>
      <c r="T14" s="130"/>
      <c r="U14" s="137"/>
      <c r="V14" s="130"/>
      <c r="W14" s="130"/>
      <c r="X14" s="130"/>
      <c r="Y14" s="130"/>
      <c r="Z14" s="130"/>
      <c r="AA14" s="130"/>
      <c r="AB14" s="69"/>
      <c r="AC14" s="69"/>
      <c r="AD14" s="69"/>
      <c r="AE14" s="69"/>
      <c r="AF14" s="9"/>
      <c r="AG14" s="9"/>
      <c r="AH14" s="9"/>
      <c r="AI14" s="9"/>
      <c r="AJ14" s="9"/>
      <c r="AK14" s="9"/>
      <c r="AL14" s="9"/>
      <c r="AM14" s="9"/>
      <c r="AN14" s="9"/>
      <c r="AO14" s="9"/>
      <c r="AP14" s="9"/>
      <c r="AQ14" s="9"/>
      <c r="AR14" s="9"/>
    </row>
    <row r="15" spans="1:44" x14ac:dyDescent="0.25">
      <c r="A15" s="61" t="s">
        <v>102</v>
      </c>
      <c r="B15" s="59" t="s">
        <v>125</v>
      </c>
      <c r="C15" s="59" t="s">
        <v>143</v>
      </c>
      <c r="D15" s="59" t="s">
        <v>126</v>
      </c>
      <c r="E15" s="59" t="s">
        <v>133</v>
      </c>
      <c r="F15" s="59" t="s">
        <v>101</v>
      </c>
      <c r="G15" s="59"/>
      <c r="H15" s="59" t="s">
        <v>144</v>
      </c>
      <c r="I15" s="59">
        <v>280053</v>
      </c>
      <c r="J15" s="59"/>
      <c r="K15" s="59"/>
      <c r="L15" s="59"/>
      <c r="M15" s="59"/>
      <c r="N15" s="59"/>
      <c r="O15" s="130"/>
      <c r="P15" s="130"/>
      <c r="Q15" s="130"/>
      <c r="R15" s="130">
        <v>280053</v>
      </c>
      <c r="S15" s="130"/>
      <c r="T15" s="130"/>
      <c r="U15" s="137"/>
      <c r="V15" s="130"/>
      <c r="W15" s="130"/>
      <c r="X15" s="130"/>
      <c r="Y15" s="130"/>
      <c r="Z15" s="130"/>
      <c r="AA15" s="130"/>
      <c r="AB15" s="69"/>
      <c r="AC15" s="69"/>
      <c r="AD15" s="69"/>
      <c r="AE15" s="69"/>
      <c r="AF15" s="9"/>
      <c r="AG15" s="9"/>
      <c r="AH15" s="9"/>
      <c r="AI15" s="9"/>
      <c r="AJ15" s="9"/>
      <c r="AK15" s="9"/>
      <c r="AL15" s="9"/>
      <c r="AM15" s="9"/>
      <c r="AN15" s="9"/>
      <c r="AO15" s="9"/>
      <c r="AP15" s="9"/>
      <c r="AQ15" s="9"/>
      <c r="AR15" s="9"/>
    </row>
    <row r="16" spans="1:44" x14ac:dyDescent="0.25">
      <c r="A16" s="61" t="s">
        <v>102</v>
      </c>
      <c r="B16" s="59" t="s">
        <v>97</v>
      </c>
      <c r="C16" s="59" t="s">
        <v>145</v>
      </c>
      <c r="D16" s="59" t="s">
        <v>133</v>
      </c>
      <c r="E16" s="59" t="s">
        <v>140</v>
      </c>
      <c r="F16" s="59" t="s">
        <v>107</v>
      </c>
      <c r="G16" s="59"/>
      <c r="H16" s="59" t="s">
        <v>146</v>
      </c>
      <c r="I16" s="59">
        <v>-113148</v>
      </c>
      <c r="J16" s="59"/>
      <c r="K16" s="59"/>
      <c r="L16" s="59"/>
      <c r="M16" s="59">
        <v>-113148</v>
      </c>
      <c r="N16" s="59"/>
      <c r="O16" s="130"/>
      <c r="P16" s="130"/>
      <c r="Q16" s="130"/>
      <c r="R16" s="130"/>
      <c r="S16" s="130"/>
      <c r="T16" s="130"/>
      <c r="U16" s="137"/>
      <c r="V16" s="130"/>
      <c r="W16" s="130"/>
      <c r="X16" s="130"/>
      <c r="Y16" s="130"/>
      <c r="Z16" s="130"/>
      <c r="AA16" s="130"/>
      <c r="AB16" s="69"/>
      <c r="AC16" s="69"/>
      <c r="AD16" s="69"/>
      <c r="AE16" s="69"/>
      <c r="AF16" s="9"/>
      <c r="AG16" s="9"/>
      <c r="AH16" s="9"/>
      <c r="AI16" s="9"/>
      <c r="AJ16" s="9"/>
      <c r="AK16" s="9"/>
      <c r="AL16" s="9"/>
      <c r="AM16" s="9"/>
      <c r="AN16" s="9"/>
      <c r="AO16" s="9"/>
      <c r="AP16" s="9"/>
      <c r="AQ16" s="9"/>
      <c r="AR16" s="9"/>
    </row>
    <row r="17" spans="1:44" x14ac:dyDescent="0.25">
      <c r="A17" s="62" t="s">
        <v>101</v>
      </c>
      <c r="B17" s="63" t="s">
        <v>97</v>
      </c>
      <c r="C17" s="63" t="s">
        <v>147</v>
      </c>
      <c r="D17" s="63" t="s">
        <v>133</v>
      </c>
      <c r="E17" s="63" t="s">
        <v>99</v>
      </c>
      <c r="F17" s="63" t="s">
        <v>107</v>
      </c>
      <c r="G17" s="63" t="s">
        <v>148</v>
      </c>
      <c r="H17" s="63" t="s">
        <v>149</v>
      </c>
      <c r="I17" s="63">
        <v>-70069</v>
      </c>
      <c r="J17" s="63"/>
      <c r="K17" s="63"/>
      <c r="L17" s="63"/>
      <c r="M17" s="63">
        <v>-70069</v>
      </c>
      <c r="N17" s="63"/>
      <c r="O17" s="130"/>
      <c r="P17" s="130"/>
      <c r="Q17" s="130"/>
      <c r="R17" s="130"/>
      <c r="S17" s="130"/>
      <c r="T17" s="130"/>
      <c r="U17" s="137"/>
      <c r="V17" s="130"/>
      <c r="W17" s="130"/>
      <c r="X17" s="130"/>
      <c r="Y17" s="130"/>
      <c r="Z17" s="130"/>
      <c r="AA17" s="130"/>
      <c r="AB17" s="69"/>
      <c r="AC17" s="69"/>
      <c r="AD17" s="69"/>
      <c r="AE17" s="69"/>
      <c r="AF17" s="9"/>
      <c r="AG17" s="9"/>
      <c r="AH17" s="9"/>
      <c r="AI17" s="9"/>
      <c r="AJ17" s="9"/>
      <c r="AK17" s="9"/>
      <c r="AL17" s="9"/>
      <c r="AM17" s="9"/>
      <c r="AN17" s="9"/>
      <c r="AO17" s="9"/>
      <c r="AP17" s="9"/>
      <c r="AQ17" s="9"/>
      <c r="AR17" s="9"/>
    </row>
    <row r="18" spans="1:44" x14ac:dyDescent="0.25">
      <c r="A18" s="84" t="s">
        <v>101</v>
      </c>
      <c r="B18" s="85" t="s">
        <v>97</v>
      </c>
      <c r="C18" s="85" t="s">
        <v>150</v>
      </c>
      <c r="D18" s="85" t="s">
        <v>133</v>
      </c>
      <c r="E18" s="85" t="s">
        <v>119</v>
      </c>
      <c r="F18" s="85" t="s">
        <v>107</v>
      </c>
      <c r="G18" s="85"/>
      <c r="H18" s="85" t="s">
        <v>151</v>
      </c>
      <c r="I18" s="85">
        <v>-633480</v>
      </c>
      <c r="J18" s="85"/>
      <c r="K18" s="85"/>
      <c r="L18" s="85"/>
      <c r="M18" s="85"/>
      <c r="N18" s="85"/>
      <c r="O18" s="130"/>
      <c r="P18" s="130"/>
      <c r="Q18" s="130"/>
      <c r="R18" s="130">
        <v>-633480</v>
      </c>
      <c r="S18" s="130"/>
      <c r="T18" s="130"/>
      <c r="U18" s="137"/>
      <c r="V18" s="130"/>
      <c r="W18" s="130"/>
      <c r="X18" s="130"/>
      <c r="Y18" s="130"/>
      <c r="Z18" s="130"/>
      <c r="AA18" s="130"/>
      <c r="AB18" s="69"/>
      <c r="AC18" s="69"/>
      <c r="AD18" s="69"/>
      <c r="AE18" s="69"/>
      <c r="AF18" s="9"/>
      <c r="AG18" s="9"/>
      <c r="AH18" s="9"/>
      <c r="AI18" s="9"/>
      <c r="AJ18" s="9"/>
      <c r="AK18" s="9"/>
      <c r="AL18" s="9"/>
      <c r="AM18" s="9"/>
      <c r="AN18" s="9"/>
      <c r="AO18" s="9"/>
      <c r="AP18" s="9"/>
      <c r="AQ18" s="9"/>
      <c r="AR18" s="9"/>
    </row>
    <row r="19" spans="1:44" x14ac:dyDescent="0.25">
      <c r="A19" s="97" t="s">
        <v>101</v>
      </c>
      <c r="B19" s="99" t="s">
        <v>127</v>
      </c>
      <c r="C19" s="99" t="s">
        <v>143</v>
      </c>
      <c r="D19" s="99" t="s">
        <v>133</v>
      </c>
      <c r="E19" s="99" t="s">
        <v>126</v>
      </c>
      <c r="F19" s="99" t="s">
        <v>101</v>
      </c>
      <c r="G19" s="99"/>
      <c r="H19" s="99" t="s">
        <v>144</v>
      </c>
      <c r="I19" s="99">
        <v>-280053</v>
      </c>
      <c r="J19" s="99"/>
      <c r="K19" s="99"/>
      <c r="L19" s="99"/>
      <c r="M19" s="99"/>
      <c r="N19" s="99"/>
      <c r="O19" s="130"/>
      <c r="P19" s="130"/>
      <c r="Q19" s="130"/>
      <c r="R19" s="130">
        <v>-280053</v>
      </c>
      <c r="S19" s="130"/>
      <c r="T19" s="130"/>
      <c r="U19" s="137"/>
      <c r="V19" s="130"/>
      <c r="W19" s="130"/>
      <c r="X19" s="130"/>
      <c r="Y19" s="130"/>
      <c r="Z19" s="130"/>
      <c r="AA19" s="130"/>
      <c r="AB19" s="69"/>
      <c r="AC19" s="69"/>
      <c r="AD19" s="69"/>
      <c r="AE19" s="69"/>
      <c r="AJ19" s="9"/>
      <c r="AK19" s="9"/>
      <c r="AL19" s="9"/>
      <c r="AM19" s="9"/>
      <c r="AN19" s="9"/>
      <c r="AO19" s="9"/>
      <c r="AP19" s="9"/>
      <c r="AQ19" s="9"/>
      <c r="AR19" s="9"/>
    </row>
    <row r="20" spans="1:44" x14ac:dyDescent="0.25">
      <c r="A20" s="98" t="s">
        <v>101</v>
      </c>
      <c r="B20" s="100" t="s">
        <v>127</v>
      </c>
      <c r="C20" s="100" t="s">
        <v>135</v>
      </c>
      <c r="D20" s="100" t="s">
        <v>133</v>
      </c>
      <c r="E20" s="100" t="s">
        <v>136</v>
      </c>
      <c r="F20" s="100"/>
      <c r="G20" s="100" t="s">
        <v>137</v>
      </c>
      <c r="H20" s="100" t="s">
        <v>152</v>
      </c>
      <c r="I20" s="100">
        <v>-127122</v>
      </c>
      <c r="J20" s="100"/>
      <c r="K20" s="100"/>
      <c r="L20" s="100"/>
      <c r="M20" s="100">
        <v>-127122</v>
      </c>
      <c r="N20" s="100"/>
      <c r="O20" s="130"/>
      <c r="P20" s="130"/>
      <c r="Q20" s="130"/>
      <c r="R20" s="130"/>
      <c r="S20" s="130"/>
      <c r="T20" s="130"/>
      <c r="U20" s="137"/>
      <c r="V20" s="130"/>
      <c r="W20" s="130"/>
      <c r="X20" s="130"/>
      <c r="Y20" s="130"/>
      <c r="Z20" s="130"/>
      <c r="AA20" s="130"/>
      <c r="AB20" s="69"/>
      <c r="AC20" s="69"/>
      <c r="AD20" s="69"/>
      <c r="AE20" s="69"/>
      <c r="AF20" s="70"/>
      <c r="AG20" s="70"/>
      <c r="AH20" s="70"/>
      <c r="AI20" s="70"/>
      <c r="AJ20" s="9"/>
      <c r="AK20" s="9"/>
      <c r="AL20" s="9"/>
      <c r="AM20" s="9"/>
      <c r="AN20" s="9"/>
      <c r="AO20" s="9"/>
      <c r="AP20" s="9"/>
      <c r="AQ20" s="9"/>
      <c r="AR20" s="9"/>
    </row>
    <row r="21" spans="1:44" x14ac:dyDescent="0.25">
      <c r="A21" s="102" t="s">
        <v>107</v>
      </c>
      <c r="B21" s="103" t="s">
        <v>125</v>
      </c>
      <c r="C21" s="103" t="s">
        <v>153</v>
      </c>
      <c r="D21" s="103" t="s">
        <v>126</v>
      </c>
      <c r="E21" s="103" t="s">
        <v>133</v>
      </c>
      <c r="F21" s="103" t="s">
        <v>108</v>
      </c>
      <c r="G21" s="103" t="s">
        <v>128</v>
      </c>
      <c r="H21" s="103" t="s">
        <v>154</v>
      </c>
      <c r="I21" s="103">
        <v>151000</v>
      </c>
      <c r="J21" s="103"/>
      <c r="K21" s="103"/>
      <c r="L21" s="103"/>
      <c r="M21" s="103"/>
      <c r="N21" s="103"/>
      <c r="O21" s="130"/>
      <c r="P21" s="130"/>
      <c r="Q21" s="130"/>
      <c r="R21" s="130">
        <v>151000</v>
      </c>
      <c r="S21" s="130"/>
      <c r="T21" s="130"/>
      <c r="U21" s="137"/>
      <c r="V21" s="130"/>
      <c r="W21" s="130"/>
      <c r="X21" s="130"/>
      <c r="Y21" s="130"/>
      <c r="Z21" s="130"/>
      <c r="AA21" s="130"/>
      <c r="AB21" s="69"/>
      <c r="AC21" s="69"/>
      <c r="AD21" s="69"/>
      <c r="AE21" s="69"/>
      <c r="AJ21" s="9"/>
      <c r="AK21" s="9"/>
      <c r="AL21" s="9"/>
      <c r="AM21" s="9"/>
      <c r="AN21" s="9"/>
      <c r="AO21" s="9"/>
      <c r="AP21" s="9"/>
      <c r="AQ21" s="9"/>
      <c r="AR21" s="9"/>
    </row>
    <row r="22" spans="1:44" x14ac:dyDescent="0.25">
      <c r="A22" s="104" t="s">
        <v>107</v>
      </c>
      <c r="B22" s="105" t="s">
        <v>97</v>
      </c>
      <c r="C22" s="105" t="s">
        <v>155</v>
      </c>
      <c r="D22" s="105" t="s">
        <v>133</v>
      </c>
      <c r="E22" s="105" t="s">
        <v>99</v>
      </c>
      <c r="F22" s="105" t="s">
        <v>108</v>
      </c>
      <c r="G22" s="105"/>
      <c r="H22" s="105" t="s">
        <v>149</v>
      </c>
      <c r="I22" s="105">
        <v>-132200</v>
      </c>
      <c r="J22" s="105"/>
      <c r="K22" s="105"/>
      <c r="L22" s="105"/>
      <c r="M22" s="105">
        <v>-132200</v>
      </c>
      <c r="N22" s="105"/>
      <c r="O22" s="130"/>
      <c r="P22" s="130"/>
      <c r="Q22" s="130"/>
      <c r="R22" s="130"/>
      <c r="S22" s="130"/>
      <c r="T22" s="130"/>
      <c r="U22" s="137"/>
      <c r="V22" s="130"/>
      <c r="W22" s="130"/>
      <c r="X22" s="130"/>
      <c r="Y22" s="130"/>
      <c r="Z22" s="130"/>
      <c r="AA22" s="130"/>
      <c r="AB22" s="69"/>
      <c r="AC22" s="69"/>
      <c r="AD22" s="69"/>
      <c r="AE22" s="69"/>
      <c r="AJ22" s="9"/>
      <c r="AK22" s="9"/>
      <c r="AL22" s="9"/>
      <c r="AM22" s="9"/>
      <c r="AN22" s="9"/>
      <c r="AO22" s="9"/>
      <c r="AP22" s="9"/>
      <c r="AQ22" s="9"/>
      <c r="AR22" s="9"/>
    </row>
    <row r="23" spans="1:44" x14ac:dyDescent="0.25">
      <c r="A23" s="106" t="s">
        <v>107</v>
      </c>
      <c r="B23" s="108" t="s">
        <v>97</v>
      </c>
      <c r="C23" s="108" t="s">
        <v>156</v>
      </c>
      <c r="D23" s="108" t="s">
        <v>133</v>
      </c>
      <c r="E23" s="108" t="s">
        <v>99</v>
      </c>
      <c r="F23" s="108" t="s">
        <v>108</v>
      </c>
      <c r="G23" s="108"/>
      <c r="H23" s="108" t="s">
        <v>149</v>
      </c>
      <c r="I23" s="108">
        <v>-73889</v>
      </c>
      <c r="J23" s="108"/>
      <c r="K23" s="108"/>
      <c r="L23" s="108"/>
      <c r="M23" s="108">
        <v>-73889</v>
      </c>
      <c r="N23" s="108"/>
      <c r="O23" s="130"/>
      <c r="P23" s="130"/>
      <c r="Q23" s="130"/>
      <c r="R23" s="130"/>
      <c r="S23" s="130"/>
      <c r="T23" s="130"/>
      <c r="U23" s="137"/>
      <c r="V23" s="130"/>
      <c r="W23" s="130"/>
      <c r="X23" s="130"/>
      <c r="Y23" s="130"/>
      <c r="Z23" s="130"/>
      <c r="AA23" s="130"/>
      <c r="AB23" s="69"/>
      <c r="AC23" s="69"/>
      <c r="AD23" s="69"/>
      <c r="AE23" s="69"/>
      <c r="AJ23" s="9"/>
      <c r="AK23" s="9"/>
      <c r="AL23" s="9"/>
      <c r="AM23" s="9"/>
      <c r="AN23" s="9"/>
      <c r="AO23" s="9"/>
      <c r="AP23" s="9"/>
      <c r="AQ23" s="9"/>
      <c r="AR23" s="9"/>
    </row>
    <row r="24" spans="1:44" x14ac:dyDescent="0.25">
      <c r="A24" s="107" t="s">
        <v>107</v>
      </c>
      <c r="B24" s="109" t="s">
        <v>97</v>
      </c>
      <c r="C24" s="109" t="s">
        <v>157</v>
      </c>
      <c r="D24" s="109" t="s">
        <v>133</v>
      </c>
      <c r="E24" s="109" t="s">
        <v>119</v>
      </c>
      <c r="F24" s="109" t="s">
        <v>158</v>
      </c>
      <c r="G24" s="109"/>
      <c r="H24" s="109" t="s">
        <v>151</v>
      </c>
      <c r="I24" s="109">
        <v>-196124</v>
      </c>
      <c r="J24" s="109"/>
      <c r="K24" s="109"/>
      <c r="L24" s="109"/>
      <c r="M24" s="109"/>
      <c r="N24" s="109"/>
      <c r="O24" s="130"/>
      <c r="P24" s="130"/>
      <c r="Q24" s="130"/>
      <c r="R24" s="130">
        <v>-196124</v>
      </c>
      <c r="S24" s="130"/>
      <c r="T24" s="130"/>
      <c r="U24" s="137"/>
      <c r="V24" s="130"/>
      <c r="W24" s="130"/>
      <c r="X24" s="130"/>
      <c r="Y24" s="130"/>
      <c r="Z24" s="130"/>
      <c r="AA24" s="130"/>
      <c r="AB24" s="69"/>
      <c r="AC24" s="69"/>
      <c r="AD24" s="69"/>
      <c r="AE24" s="69"/>
      <c r="AJ24" s="9"/>
      <c r="AK24" s="9"/>
      <c r="AL24" s="9"/>
      <c r="AM24" s="9"/>
      <c r="AN24" s="9"/>
      <c r="AO24" s="9"/>
      <c r="AP24" s="9"/>
      <c r="AQ24" s="9"/>
      <c r="AR24" s="9"/>
    </row>
    <row r="25" spans="1:44" x14ac:dyDescent="0.25">
      <c r="A25" s="25" t="s">
        <v>107</v>
      </c>
      <c r="B25" s="25" t="s">
        <v>98</v>
      </c>
      <c r="C25" s="25" t="s">
        <v>145</v>
      </c>
      <c r="D25" s="25" t="s">
        <v>140</v>
      </c>
      <c r="E25" s="25" t="s">
        <v>133</v>
      </c>
      <c r="F25" s="25" t="s">
        <v>107</v>
      </c>
      <c r="H25" s="25" t="s">
        <v>146</v>
      </c>
      <c r="I25" s="25">
        <v>113148</v>
      </c>
      <c r="M25" s="25">
        <v>113148</v>
      </c>
      <c r="O25" s="131"/>
      <c r="P25" s="131"/>
      <c r="Q25" s="131"/>
      <c r="R25" s="131"/>
      <c r="S25" s="131"/>
      <c r="T25" s="131"/>
      <c r="U25" s="138"/>
      <c r="V25" s="131"/>
      <c r="W25" s="131"/>
      <c r="X25" s="131"/>
      <c r="Y25" s="131"/>
      <c r="Z25" s="131"/>
      <c r="AA25" s="131"/>
      <c r="AB25" s="69"/>
      <c r="AC25" s="69"/>
      <c r="AD25" s="69"/>
      <c r="AE25" s="69"/>
      <c r="AJ25" s="9"/>
      <c r="AK25" s="9"/>
      <c r="AL25" s="9"/>
      <c r="AM25" s="9"/>
      <c r="AN25" s="9"/>
      <c r="AO25" s="9"/>
      <c r="AP25" s="9"/>
      <c r="AQ25" s="9"/>
      <c r="AR25" s="9"/>
    </row>
    <row r="26" spans="1:44" x14ac:dyDescent="0.25">
      <c r="A26" s="25" t="s">
        <v>107</v>
      </c>
      <c r="B26" s="25" t="s">
        <v>98</v>
      </c>
      <c r="C26" s="25" t="s">
        <v>147</v>
      </c>
      <c r="D26" s="25" t="s">
        <v>99</v>
      </c>
      <c r="E26" s="25" t="s">
        <v>133</v>
      </c>
      <c r="F26" s="25" t="s">
        <v>107</v>
      </c>
      <c r="G26" s="25" t="s">
        <v>148</v>
      </c>
      <c r="H26" s="25" t="s">
        <v>149</v>
      </c>
      <c r="I26" s="25">
        <v>70069</v>
      </c>
      <c r="M26" s="25">
        <v>70069</v>
      </c>
      <c r="O26" s="131"/>
      <c r="P26" s="131"/>
      <c r="Q26" s="131"/>
      <c r="R26" s="131"/>
      <c r="S26" s="131"/>
      <c r="T26" s="131"/>
      <c r="U26" s="138"/>
      <c r="V26" s="131"/>
      <c r="W26" s="131"/>
      <c r="X26" s="131"/>
      <c r="Y26" s="131"/>
      <c r="Z26" s="131"/>
      <c r="AA26" s="131"/>
      <c r="AB26" s="69"/>
      <c r="AC26" s="69"/>
      <c r="AD26" s="69"/>
      <c r="AE26" s="69"/>
      <c r="AJ26" s="9"/>
      <c r="AK26" s="9"/>
      <c r="AL26" s="9"/>
      <c r="AM26" s="9"/>
      <c r="AN26" s="9"/>
      <c r="AO26" s="9"/>
      <c r="AP26" s="9"/>
      <c r="AQ26" s="9"/>
      <c r="AR26" s="9"/>
    </row>
    <row r="27" spans="1:44" x14ac:dyDescent="0.25">
      <c r="A27" s="25" t="s">
        <v>107</v>
      </c>
      <c r="B27" s="25" t="s">
        <v>98</v>
      </c>
      <c r="C27" s="25" t="s">
        <v>150</v>
      </c>
      <c r="D27" s="25" t="s">
        <v>119</v>
      </c>
      <c r="E27" s="25" t="s">
        <v>133</v>
      </c>
      <c r="F27" s="25" t="s">
        <v>107</v>
      </c>
      <c r="H27" s="25" t="s">
        <v>151</v>
      </c>
      <c r="I27" s="25">
        <v>633480</v>
      </c>
      <c r="O27" s="131"/>
      <c r="P27" s="131"/>
      <c r="Q27" s="131"/>
      <c r="R27" s="131">
        <v>633480</v>
      </c>
      <c r="S27" s="131"/>
      <c r="T27" s="131"/>
      <c r="U27" s="138"/>
      <c r="V27" s="131"/>
      <c r="W27" s="131"/>
      <c r="X27" s="131"/>
      <c r="Y27" s="131"/>
      <c r="Z27" s="131"/>
      <c r="AA27" s="131"/>
      <c r="AB27" s="69"/>
      <c r="AC27" s="69"/>
      <c r="AD27" s="69"/>
      <c r="AE27" s="69"/>
      <c r="AJ27" s="9"/>
      <c r="AK27" s="9"/>
      <c r="AL27" s="9"/>
      <c r="AM27" s="9"/>
      <c r="AN27" s="9"/>
      <c r="AO27" s="9"/>
      <c r="AP27" s="9"/>
      <c r="AQ27" s="9"/>
      <c r="AR27" s="9"/>
    </row>
    <row r="28" spans="1:44" x14ac:dyDescent="0.25">
      <c r="A28" s="25" t="s">
        <v>107</v>
      </c>
      <c r="B28" s="25" t="s">
        <v>118</v>
      </c>
      <c r="C28" s="25" t="s">
        <v>159</v>
      </c>
      <c r="D28" s="25" t="s">
        <v>140</v>
      </c>
      <c r="E28" s="25" t="s">
        <v>133</v>
      </c>
      <c r="F28" s="25" t="s">
        <v>105</v>
      </c>
      <c r="G28" s="25" t="s">
        <v>160</v>
      </c>
      <c r="H28" s="25" t="s">
        <v>161</v>
      </c>
      <c r="I28" s="25">
        <v>20000</v>
      </c>
      <c r="M28" s="25">
        <v>20000</v>
      </c>
      <c r="O28" s="131"/>
      <c r="P28" s="131"/>
      <c r="Q28" s="131"/>
      <c r="R28" s="131"/>
      <c r="S28" s="131"/>
      <c r="T28" s="131"/>
      <c r="U28" s="138"/>
      <c r="V28" s="131"/>
      <c r="W28" s="131"/>
      <c r="X28" s="131"/>
      <c r="Y28" s="131"/>
      <c r="Z28" s="131"/>
      <c r="AA28" s="131"/>
      <c r="AB28" s="69"/>
      <c r="AC28" s="69"/>
      <c r="AD28" s="69"/>
      <c r="AE28" s="69"/>
      <c r="AJ28" s="9"/>
      <c r="AK28" s="9"/>
      <c r="AL28" s="9"/>
      <c r="AM28" s="9"/>
      <c r="AN28" s="9"/>
      <c r="AO28" s="9"/>
      <c r="AP28" s="9"/>
      <c r="AQ28" s="9"/>
      <c r="AR28" s="9"/>
    </row>
    <row r="29" spans="1:44" x14ac:dyDescent="0.25">
      <c r="A29" s="25" t="s">
        <v>107</v>
      </c>
      <c r="B29" s="25" t="s">
        <v>118</v>
      </c>
      <c r="C29" s="25" t="s">
        <v>162</v>
      </c>
      <c r="D29" s="25" t="s">
        <v>119</v>
      </c>
      <c r="E29" s="25" t="s">
        <v>133</v>
      </c>
      <c r="F29" s="25" t="s">
        <v>105</v>
      </c>
      <c r="G29" s="25" t="s">
        <v>120</v>
      </c>
      <c r="H29" s="25" t="s">
        <v>163</v>
      </c>
      <c r="I29" s="25">
        <v>105000</v>
      </c>
      <c r="M29" s="25">
        <v>105000</v>
      </c>
      <c r="O29" s="131"/>
      <c r="P29" s="131"/>
      <c r="Q29" s="131"/>
      <c r="R29" s="131"/>
      <c r="S29" s="131"/>
      <c r="T29" s="131"/>
      <c r="U29" s="138"/>
      <c r="V29" s="131"/>
      <c r="W29" s="131"/>
      <c r="X29" s="131"/>
      <c r="Y29" s="131"/>
      <c r="Z29" s="131"/>
      <c r="AA29" s="131"/>
      <c r="AB29" s="69"/>
      <c r="AC29" s="69"/>
      <c r="AD29" s="69"/>
      <c r="AE29" s="69"/>
      <c r="AJ29" s="9"/>
      <c r="AK29" s="9"/>
      <c r="AL29" s="9"/>
      <c r="AM29" s="9"/>
      <c r="AN29" s="9"/>
      <c r="AO29" s="9"/>
      <c r="AP29" s="9"/>
      <c r="AQ29" s="9"/>
      <c r="AR29" s="9"/>
    </row>
    <row r="30" spans="1:44" x14ac:dyDescent="0.25">
      <c r="A30" s="25" t="s">
        <v>107</v>
      </c>
      <c r="B30" s="25" t="s">
        <v>114</v>
      </c>
      <c r="C30" s="25" t="s">
        <v>164</v>
      </c>
      <c r="D30" s="25" t="s">
        <v>133</v>
      </c>
      <c r="E30" s="25" t="s">
        <v>99</v>
      </c>
      <c r="F30" s="25" t="s">
        <v>105</v>
      </c>
      <c r="G30" s="25" t="s">
        <v>165</v>
      </c>
      <c r="H30" s="25" t="s">
        <v>166</v>
      </c>
      <c r="I30" s="25">
        <v>-287704</v>
      </c>
      <c r="M30" s="25">
        <v>-287704</v>
      </c>
      <c r="O30" s="131"/>
      <c r="P30" s="131"/>
      <c r="Q30" s="131"/>
      <c r="R30" s="131"/>
      <c r="S30" s="131"/>
      <c r="T30" s="131"/>
      <c r="U30" s="138"/>
      <c r="V30" s="131"/>
      <c r="W30" s="131"/>
      <c r="X30" s="131"/>
      <c r="Y30" s="131"/>
      <c r="Z30" s="131"/>
      <c r="AA30" s="131"/>
      <c r="AB30" s="69"/>
      <c r="AC30" s="69"/>
      <c r="AD30" s="69"/>
      <c r="AE30" s="69"/>
      <c r="AJ30" s="9"/>
      <c r="AK30" s="9"/>
      <c r="AL30" s="9"/>
      <c r="AM30" s="9"/>
      <c r="AN30" s="9"/>
      <c r="AO30" s="9"/>
      <c r="AP30" s="9"/>
      <c r="AQ30" s="9"/>
      <c r="AR30" s="9"/>
    </row>
    <row r="31" spans="1:44" x14ac:dyDescent="0.25">
      <c r="A31" s="25" t="s">
        <v>108</v>
      </c>
      <c r="B31" s="25" t="s">
        <v>98</v>
      </c>
      <c r="C31" s="25" t="s">
        <v>155</v>
      </c>
      <c r="D31" s="25" t="s">
        <v>99</v>
      </c>
      <c r="E31" s="25" t="s">
        <v>133</v>
      </c>
      <c r="F31" s="25" t="s">
        <v>108</v>
      </c>
      <c r="H31" s="25" t="s">
        <v>149</v>
      </c>
      <c r="I31" s="25">
        <v>132200</v>
      </c>
      <c r="M31" s="25">
        <v>132200</v>
      </c>
      <c r="O31" s="131"/>
      <c r="P31" s="131"/>
      <c r="Q31" s="131"/>
      <c r="R31" s="131"/>
      <c r="S31" s="131"/>
      <c r="T31" s="131"/>
      <c r="U31" s="138"/>
      <c r="V31" s="131"/>
      <c r="W31" s="131"/>
      <c r="X31" s="131"/>
      <c r="Y31" s="131"/>
      <c r="Z31" s="131"/>
      <c r="AA31" s="131"/>
      <c r="AB31" s="69"/>
      <c r="AC31" s="69"/>
      <c r="AD31" s="69"/>
      <c r="AE31" s="69"/>
      <c r="AJ31" s="9"/>
      <c r="AK31" s="9"/>
      <c r="AL31" s="9"/>
      <c r="AM31" s="9"/>
      <c r="AN31" s="9"/>
      <c r="AO31" s="9"/>
      <c r="AP31" s="9"/>
      <c r="AQ31" s="9"/>
      <c r="AR31" s="9"/>
    </row>
    <row r="32" spans="1:44" x14ac:dyDescent="0.25">
      <c r="A32" s="25" t="s">
        <v>108</v>
      </c>
      <c r="B32" s="25" t="s">
        <v>98</v>
      </c>
      <c r="C32" s="25" t="s">
        <v>156</v>
      </c>
      <c r="D32" s="25" t="s">
        <v>99</v>
      </c>
      <c r="E32" s="25" t="s">
        <v>133</v>
      </c>
      <c r="F32" s="25" t="s">
        <v>108</v>
      </c>
      <c r="H32" s="25" t="s">
        <v>149</v>
      </c>
      <c r="I32" s="25">
        <v>73889</v>
      </c>
      <c r="M32" s="25">
        <v>73889</v>
      </c>
      <c r="O32" s="131"/>
      <c r="P32" s="131"/>
      <c r="Q32" s="131"/>
      <c r="R32" s="131"/>
      <c r="S32" s="131"/>
      <c r="T32" s="131"/>
      <c r="U32" s="138"/>
      <c r="V32" s="131"/>
      <c r="W32" s="131"/>
      <c r="X32" s="131"/>
      <c r="Y32" s="131"/>
      <c r="Z32" s="131"/>
      <c r="AA32" s="131"/>
      <c r="AB32" s="69"/>
      <c r="AC32" s="69"/>
      <c r="AD32" s="69"/>
      <c r="AE32" s="69"/>
      <c r="AJ32" s="9"/>
      <c r="AK32" s="9"/>
      <c r="AL32" s="9"/>
      <c r="AM32" s="9"/>
      <c r="AN32" s="9"/>
      <c r="AO32" s="9"/>
      <c r="AP32" s="9"/>
      <c r="AQ32" s="9"/>
      <c r="AR32" s="9"/>
    </row>
    <row r="33" spans="1:44" x14ac:dyDescent="0.25">
      <c r="A33" s="25" t="s">
        <v>108</v>
      </c>
      <c r="B33" s="25" t="s">
        <v>98</v>
      </c>
      <c r="C33" s="25" t="s">
        <v>157</v>
      </c>
      <c r="D33" s="25" t="s">
        <v>119</v>
      </c>
      <c r="E33" s="25" t="s">
        <v>133</v>
      </c>
      <c r="F33" s="25" t="s">
        <v>108</v>
      </c>
      <c r="H33" s="25" t="s">
        <v>151</v>
      </c>
      <c r="I33" s="25">
        <v>25000</v>
      </c>
      <c r="O33" s="131"/>
      <c r="P33" s="131"/>
      <c r="Q33" s="131"/>
      <c r="R33" s="131">
        <v>25000</v>
      </c>
      <c r="S33" s="131"/>
      <c r="T33" s="131"/>
      <c r="U33" s="138"/>
      <c r="V33" s="131"/>
      <c r="W33" s="131"/>
      <c r="X33" s="131"/>
      <c r="Y33" s="131"/>
      <c r="Z33" s="131"/>
      <c r="AA33" s="131"/>
      <c r="AB33" s="69"/>
      <c r="AC33" s="69"/>
      <c r="AD33" s="69"/>
      <c r="AE33" s="69"/>
      <c r="AJ33" s="9"/>
      <c r="AK33" s="9"/>
      <c r="AL33" s="9"/>
      <c r="AM33" s="9"/>
      <c r="AN33" s="9"/>
      <c r="AO33" s="9"/>
      <c r="AP33" s="9"/>
      <c r="AQ33" s="9"/>
      <c r="AR33" s="9"/>
    </row>
    <row r="34" spans="1:44" x14ac:dyDescent="0.25">
      <c r="A34" s="25" t="s">
        <v>108</v>
      </c>
      <c r="B34" s="25" t="s">
        <v>127</v>
      </c>
      <c r="C34" s="25" t="s">
        <v>153</v>
      </c>
      <c r="D34" s="25" t="s">
        <v>133</v>
      </c>
      <c r="E34" s="25" t="s">
        <v>126</v>
      </c>
      <c r="F34" s="25" t="s">
        <v>108</v>
      </c>
      <c r="G34" s="25" t="s">
        <v>128</v>
      </c>
      <c r="H34" s="25" t="s">
        <v>154</v>
      </c>
      <c r="I34" s="25">
        <v>-151000</v>
      </c>
      <c r="O34" s="131"/>
      <c r="P34" s="131"/>
      <c r="Q34" s="131"/>
      <c r="R34" s="131">
        <v>-151000</v>
      </c>
      <c r="S34" s="131"/>
      <c r="T34" s="131"/>
      <c r="U34" s="138"/>
      <c r="V34" s="131"/>
      <c r="W34" s="131"/>
      <c r="X34" s="131"/>
      <c r="Y34" s="131"/>
      <c r="Z34" s="131"/>
      <c r="AA34" s="131"/>
      <c r="AB34" s="69"/>
      <c r="AC34" s="69"/>
      <c r="AD34" s="69"/>
      <c r="AE34" s="69"/>
      <c r="AJ34" s="9"/>
      <c r="AK34" s="9"/>
      <c r="AL34" s="9"/>
      <c r="AM34" s="9"/>
      <c r="AN34" s="9"/>
      <c r="AO34" s="9"/>
      <c r="AP34" s="9"/>
      <c r="AQ34" s="9"/>
      <c r="AR34" s="9"/>
    </row>
    <row r="35" spans="1:44" x14ac:dyDescent="0.25">
      <c r="A35" s="25" t="s">
        <v>108</v>
      </c>
      <c r="B35" s="25" t="s">
        <v>118</v>
      </c>
      <c r="C35" s="25" t="s">
        <v>194</v>
      </c>
      <c r="D35" s="25" t="s">
        <v>99</v>
      </c>
      <c r="E35" s="25" t="s">
        <v>133</v>
      </c>
      <c r="F35" s="25" t="s">
        <v>108</v>
      </c>
      <c r="G35" s="25" t="s">
        <v>195</v>
      </c>
      <c r="H35" s="25" t="s">
        <v>196</v>
      </c>
      <c r="I35" s="25">
        <v>105353</v>
      </c>
      <c r="M35" s="25">
        <v>105353</v>
      </c>
      <c r="O35" s="131"/>
      <c r="P35" s="131"/>
      <c r="Q35" s="131"/>
      <c r="R35" s="131"/>
      <c r="S35" s="131"/>
      <c r="T35" s="131"/>
      <c r="U35" s="138"/>
      <c r="V35" s="131"/>
      <c r="W35" s="131"/>
      <c r="X35" s="131"/>
      <c r="Y35" s="131"/>
      <c r="Z35" s="131"/>
      <c r="AA35" s="131"/>
      <c r="AB35" s="69"/>
      <c r="AC35" s="69"/>
      <c r="AD35" s="69"/>
      <c r="AE35" s="69"/>
      <c r="AJ35" s="9"/>
      <c r="AK35" s="9"/>
      <c r="AL35" s="9"/>
      <c r="AM35" s="9"/>
      <c r="AN35" s="9"/>
      <c r="AO35" s="9"/>
      <c r="AP35" s="9"/>
      <c r="AQ35" s="9"/>
      <c r="AR35" s="9"/>
    </row>
    <row r="36" spans="1:44" x14ac:dyDescent="0.25">
      <c r="A36" s="25" t="s">
        <v>108</v>
      </c>
      <c r="B36" s="25" t="s">
        <v>118</v>
      </c>
      <c r="C36" s="25" t="s">
        <v>199</v>
      </c>
      <c r="D36" s="25" t="s">
        <v>99</v>
      </c>
      <c r="E36" s="25" t="s">
        <v>133</v>
      </c>
      <c r="F36" s="25" t="s">
        <v>108</v>
      </c>
      <c r="G36" s="25" t="s">
        <v>195</v>
      </c>
      <c r="H36" s="25" t="s">
        <v>196</v>
      </c>
      <c r="I36" s="25">
        <v>97311</v>
      </c>
      <c r="M36" s="25">
        <v>97311</v>
      </c>
      <c r="O36" s="131"/>
      <c r="P36" s="131"/>
      <c r="Q36" s="131"/>
      <c r="R36" s="131"/>
      <c r="S36" s="131"/>
      <c r="T36" s="131"/>
      <c r="U36" s="138"/>
      <c r="V36" s="131"/>
      <c r="W36" s="131"/>
      <c r="X36" s="131"/>
      <c r="Y36" s="131"/>
      <c r="Z36" s="131"/>
      <c r="AA36" s="131"/>
      <c r="AB36" s="69"/>
      <c r="AC36" s="69"/>
      <c r="AD36" s="69"/>
      <c r="AE36" s="69"/>
      <c r="AJ36" s="9"/>
      <c r="AK36" s="9"/>
      <c r="AL36" s="9"/>
      <c r="AM36" s="9"/>
      <c r="AN36" s="9"/>
      <c r="AO36" s="9"/>
      <c r="AP36" s="9"/>
      <c r="AQ36" s="9"/>
      <c r="AR36" s="9"/>
    </row>
    <row r="37" spans="1:44" x14ac:dyDescent="0.25">
      <c r="A37" s="131" t="s">
        <v>108</v>
      </c>
      <c r="B37" s="131" t="s">
        <v>118</v>
      </c>
      <c r="C37" s="131" t="s">
        <v>200</v>
      </c>
      <c r="D37" s="131" t="s">
        <v>99</v>
      </c>
      <c r="E37" s="131" t="s">
        <v>133</v>
      </c>
      <c r="F37" s="131" t="s">
        <v>108</v>
      </c>
      <c r="G37" s="131" t="s">
        <v>178</v>
      </c>
      <c r="H37" s="131" t="s">
        <v>201</v>
      </c>
      <c r="I37" s="131">
        <v>125541</v>
      </c>
      <c r="J37" s="131"/>
      <c r="K37" s="131"/>
      <c r="L37" s="131">
        <v>125541</v>
      </c>
      <c r="M37" s="131"/>
      <c r="N37" s="131"/>
      <c r="O37" s="131"/>
      <c r="P37" s="131"/>
      <c r="Q37" s="131"/>
      <c r="R37" s="131"/>
      <c r="S37" s="131"/>
      <c r="T37" s="131"/>
      <c r="U37" s="138"/>
      <c r="V37" s="131"/>
      <c r="W37" s="131"/>
      <c r="X37" s="131"/>
      <c r="Y37" s="131"/>
      <c r="Z37" s="131"/>
      <c r="AA37" s="131"/>
      <c r="AF37" s="109"/>
      <c r="AH37" s="69"/>
      <c r="AI37" s="69"/>
      <c r="AJ37" s="69"/>
      <c r="AK37" s="69"/>
      <c r="AP37" s="9"/>
      <c r="AQ37" s="9"/>
      <c r="AR37" s="9"/>
    </row>
    <row r="38" spans="1:44" x14ac:dyDescent="0.25">
      <c r="A38" s="147" t="s">
        <v>108</v>
      </c>
      <c r="B38" s="147" t="s">
        <v>118</v>
      </c>
      <c r="C38" s="147" t="s">
        <v>210</v>
      </c>
      <c r="D38" s="147" t="s">
        <v>99</v>
      </c>
      <c r="E38" s="147" t="s">
        <v>133</v>
      </c>
      <c r="F38" s="147" t="s">
        <v>108</v>
      </c>
      <c r="G38" s="147" t="s">
        <v>198</v>
      </c>
      <c r="H38" s="147" t="s">
        <v>201</v>
      </c>
      <c r="I38" s="147">
        <v>252000</v>
      </c>
      <c r="J38" s="147"/>
      <c r="K38" s="147"/>
      <c r="L38" s="147">
        <v>252000</v>
      </c>
      <c r="M38" s="147"/>
      <c r="N38" s="147"/>
      <c r="O38" s="147"/>
      <c r="P38" s="147"/>
      <c r="Q38" s="147"/>
      <c r="R38" s="147"/>
      <c r="S38" s="147"/>
      <c r="T38" s="147"/>
      <c r="U38" s="147"/>
      <c r="AG38" s="109"/>
      <c r="AI38" s="69"/>
      <c r="AJ38" s="69"/>
      <c r="AK38" s="69"/>
      <c r="AL38" s="69"/>
      <c r="AQ38" s="9"/>
      <c r="AR38" s="9"/>
    </row>
    <row r="39" spans="1:44" x14ac:dyDescent="0.25">
      <c r="A39" s="147" t="s">
        <v>108</v>
      </c>
      <c r="B39" s="147" t="s">
        <v>118</v>
      </c>
      <c r="C39" s="147" t="s">
        <v>186</v>
      </c>
      <c r="D39" s="147" t="s">
        <v>99</v>
      </c>
      <c r="E39" s="147" t="s">
        <v>133</v>
      </c>
      <c r="F39" s="147" t="s">
        <v>108</v>
      </c>
      <c r="G39" s="147" t="s">
        <v>187</v>
      </c>
      <c r="H39" s="147" t="s">
        <v>188</v>
      </c>
      <c r="I39" s="147">
        <v>357078.19</v>
      </c>
      <c r="J39" s="147"/>
      <c r="K39" s="147"/>
      <c r="L39" s="147"/>
      <c r="M39" s="147"/>
      <c r="N39" s="147"/>
      <c r="O39" s="147"/>
      <c r="P39" s="147"/>
      <c r="Q39" s="147">
        <v>357078.19</v>
      </c>
      <c r="R39" s="147"/>
      <c r="S39" s="147"/>
      <c r="T39" s="147"/>
      <c r="U39" s="147"/>
      <c r="AG39" s="109"/>
      <c r="AI39" s="69"/>
      <c r="AJ39" s="69"/>
      <c r="AK39" s="69"/>
      <c r="AL39" s="69"/>
      <c r="AQ39" s="9"/>
      <c r="AR39" s="9"/>
    </row>
    <row r="40" spans="1:44" x14ac:dyDescent="0.25">
      <c r="A40" s="147" t="s">
        <v>108</v>
      </c>
      <c r="B40" s="147" t="s">
        <v>114</v>
      </c>
      <c r="C40" s="147" t="s">
        <v>200</v>
      </c>
      <c r="D40" s="147" t="s">
        <v>133</v>
      </c>
      <c r="E40" s="147" t="s">
        <v>99</v>
      </c>
      <c r="F40" s="147" t="s">
        <v>108</v>
      </c>
      <c r="G40" s="147" t="s">
        <v>178</v>
      </c>
      <c r="H40" s="147" t="s">
        <v>202</v>
      </c>
      <c r="I40" s="147">
        <v>-139490</v>
      </c>
      <c r="J40" s="147"/>
      <c r="K40" s="147"/>
      <c r="L40" s="147"/>
      <c r="M40" s="147"/>
      <c r="N40" s="147"/>
      <c r="O40" s="147"/>
      <c r="P40" s="147"/>
      <c r="Q40" s="147">
        <v>-139490</v>
      </c>
      <c r="R40" s="147"/>
      <c r="S40" s="147"/>
      <c r="T40" s="147"/>
      <c r="U40" s="147"/>
      <c r="AG40" s="109"/>
      <c r="AI40" s="69"/>
      <c r="AJ40" s="69"/>
      <c r="AK40" s="69"/>
      <c r="AL40" s="69"/>
      <c r="AQ40" s="9"/>
      <c r="AR40" s="9"/>
    </row>
    <row r="41" spans="1:44" x14ac:dyDescent="0.25">
      <c r="A41" s="147" t="s">
        <v>108</v>
      </c>
      <c r="B41" s="147" t="s">
        <v>114</v>
      </c>
      <c r="C41" s="147" t="s">
        <v>210</v>
      </c>
      <c r="D41" s="147" t="s">
        <v>133</v>
      </c>
      <c r="E41" s="147" t="s">
        <v>99</v>
      </c>
      <c r="F41" s="147" t="s">
        <v>108</v>
      </c>
      <c r="G41" s="147" t="s">
        <v>198</v>
      </c>
      <c r="H41" s="147" t="s">
        <v>202</v>
      </c>
      <c r="I41" s="147">
        <v>-280000</v>
      </c>
      <c r="J41" s="147"/>
      <c r="K41" s="147"/>
      <c r="L41" s="147"/>
      <c r="M41" s="147"/>
      <c r="N41" s="147"/>
      <c r="O41" s="147"/>
      <c r="P41" s="147"/>
      <c r="Q41" s="147">
        <v>-280000</v>
      </c>
      <c r="R41" s="147"/>
      <c r="S41" s="147"/>
      <c r="T41" s="147"/>
      <c r="U41" s="147"/>
      <c r="AG41" s="109"/>
      <c r="AI41" s="69"/>
      <c r="AJ41" s="69"/>
      <c r="AK41" s="69"/>
      <c r="AL41" s="69"/>
      <c r="AQ41" s="9"/>
      <c r="AR41" s="9"/>
    </row>
    <row r="42" spans="1:44" x14ac:dyDescent="0.25">
      <c r="A42" s="25" t="s">
        <v>108</v>
      </c>
      <c r="B42" s="25" t="s">
        <v>114</v>
      </c>
      <c r="C42" s="25" t="s">
        <v>167</v>
      </c>
      <c r="D42" s="25" t="s">
        <v>133</v>
      </c>
      <c r="E42" s="25" t="s">
        <v>99</v>
      </c>
      <c r="F42" s="25" t="s">
        <v>108</v>
      </c>
      <c r="G42" s="25" t="s">
        <v>168</v>
      </c>
      <c r="H42" s="25" t="s">
        <v>166</v>
      </c>
      <c r="I42" s="25">
        <v>-492513</v>
      </c>
      <c r="M42" s="25">
        <v>-492513</v>
      </c>
      <c r="AG42" s="109"/>
      <c r="AI42" s="69"/>
      <c r="AJ42" s="69"/>
      <c r="AK42" s="69"/>
      <c r="AL42" s="69"/>
      <c r="AQ42" s="9"/>
      <c r="AR42" s="9"/>
    </row>
    <row r="43" spans="1:44" x14ac:dyDescent="0.25">
      <c r="A43" s="25" t="s">
        <v>108</v>
      </c>
      <c r="B43" s="25" t="s">
        <v>114</v>
      </c>
      <c r="C43" s="25" t="s">
        <v>211</v>
      </c>
      <c r="D43" s="25" t="s">
        <v>133</v>
      </c>
      <c r="E43" s="25" t="s">
        <v>99</v>
      </c>
      <c r="F43" s="25" t="s">
        <v>108</v>
      </c>
      <c r="G43" s="25" t="s">
        <v>212</v>
      </c>
      <c r="H43" s="25" t="s">
        <v>166</v>
      </c>
      <c r="I43" s="25">
        <v>-110154.04</v>
      </c>
      <c r="M43" s="25">
        <v>-110154.04</v>
      </c>
      <c r="AG43" s="109"/>
      <c r="AI43" s="69"/>
      <c r="AJ43" s="69"/>
      <c r="AK43" s="69"/>
      <c r="AL43" s="69"/>
      <c r="AQ43" s="9"/>
      <c r="AR43" s="9"/>
    </row>
    <row r="44" spans="1:44" x14ac:dyDescent="0.25">
      <c r="A44" s="25" t="s">
        <v>213</v>
      </c>
      <c r="B44" s="25" t="s">
        <v>118</v>
      </c>
      <c r="C44" s="25" t="s">
        <v>236</v>
      </c>
      <c r="D44" s="25" t="s">
        <v>99</v>
      </c>
      <c r="E44" s="25" t="s">
        <v>133</v>
      </c>
      <c r="F44" s="25" t="s">
        <v>213</v>
      </c>
      <c r="G44" s="25" t="s">
        <v>227</v>
      </c>
      <c r="H44" s="25" t="s">
        <v>201</v>
      </c>
      <c r="I44" s="25">
        <v>351929</v>
      </c>
      <c r="L44" s="25">
        <v>351929</v>
      </c>
      <c r="AG44" s="109"/>
      <c r="AI44" s="69"/>
      <c r="AJ44" s="69"/>
      <c r="AK44" s="69"/>
      <c r="AL44" s="69"/>
      <c r="AQ44" s="9"/>
      <c r="AR44" s="9"/>
    </row>
    <row r="45" spans="1:44" x14ac:dyDescent="0.25">
      <c r="A45" s="25" t="s">
        <v>213</v>
      </c>
      <c r="B45" s="25" t="s">
        <v>118</v>
      </c>
      <c r="C45" s="25" t="s">
        <v>211</v>
      </c>
      <c r="D45" s="25" t="s">
        <v>99</v>
      </c>
      <c r="E45" s="25" t="s">
        <v>133</v>
      </c>
      <c r="F45" s="25" t="s">
        <v>213</v>
      </c>
      <c r="G45" s="25" t="s">
        <v>212</v>
      </c>
      <c r="H45" s="25" t="s">
        <v>214</v>
      </c>
      <c r="I45" s="25">
        <v>110154.04</v>
      </c>
      <c r="R45" s="25">
        <v>110154.04</v>
      </c>
      <c r="AG45" s="109"/>
      <c r="AI45" s="69"/>
      <c r="AJ45" s="69"/>
      <c r="AK45" s="69"/>
      <c r="AL45" s="69"/>
      <c r="AQ45" s="9"/>
      <c r="AR45" s="9"/>
    </row>
    <row r="46" spans="1:44" x14ac:dyDescent="0.25">
      <c r="A46" s="159" t="s">
        <v>213</v>
      </c>
      <c r="B46" s="159" t="s">
        <v>114</v>
      </c>
      <c r="C46" s="159" t="s">
        <v>236</v>
      </c>
      <c r="D46" s="159" t="s">
        <v>133</v>
      </c>
      <c r="E46" s="159" t="s">
        <v>99</v>
      </c>
      <c r="F46" s="159" t="s">
        <v>213</v>
      </c>
      <c r="G46" s="159" t="s">
        <v>227</v>
      </c>
      <c r="H46" s="159" t="s">
        <v>202</v>
      </c>
      <c r="I46" s="159">
        <v>-391032</v>
      </c>
      <c r="J46" s="159"/>
      <c r="K46" s="159"/>
      <c r="L46" s="159"/>
      <c r="M46" s="159"/>
      <c r="N46" s="159"/>
      <c r="O46" s="159"/>
      <c r="P46" s="159"/>
      <c r="Q46" s="159">
        <v>-391032</v>
      </c>
      <c r="R46" s="159"/>
      <c r="S46" s="159"/>
      <c r="T46" s="159"/>
      <c r="U46" s="159"/>
      <c r="AG46" s="109"/>
      <c r="AI46" s="69"/>
      <c r="AJ46" s="69"/>
      <c r="AK46" s="69"/>
      <c r="AL46" s="69"/>
      <c r="AQ46" s="9"/>
      <c r="AR46" s="9"/>
    </row>
    <row r="47" spans="1:44" x14ac:dyDescent="0.25">
      <c r="A47" s="159" t="s">
        <v>213</v>
      </c>
      <c r="B47" s="159" t="s">
        <v>114</v>
      </c>
      <c r="C47" s="159" t="s">
        <v>239</v>
      </c>
      <c r="D47" s="159" t="s">
        <v>240</v>
      </c>
      <c r="E47" s="159" t="s">
        <v>99</v>
      </c>
      <c r="F47" s="159" t="s">
        <v>213</v>
      </c>
      <c r="G47" s="159" t="s">
        <v>241</v>
      </c>
      <c r="H47" s="159" t="s">
        <v>242</v>
      </c>
      <c r="I47" s="159">
        <v>-293380</v>
      </c>
      <c r="J47" s="159"/>
      <c r="K47" s="159"/>
      <c r="L47" s="159"/>
      <c r="M47" s="159"/>
      <c r="N47" s="159"/>
      <c r="O47" s="159"/>
      <c r="P47" s="159"/>
      <c r="Q47" s="159">
        <v>-293380</v>
      </c>
      <c r="R47" s="159"/>
      <c r="S47" s="159"/>
      <c r="T47" s="159"/>
      <c r="U47" s="159"/>
      <c r="AG47" s="109"/>
      <c r="AI47" s="69"/>
      <c r="AJ47" s="69"/>
      <c r="AK47" s="69"/>
      <c r="AL47" s="69"/>
      <c r="AQ47" s="9"/>
      <c r="AR47" s="9"/>
    </row>
    <row r="48" spans="1:44" x14ac:dyDescent="0.25">
      <c r="A48" s="159" t="s">
        <v>169</v>
      </c>
      <c r="B48" s="159" t="s">
        <v>97</v>
      </c>
      <c r="C48" s="159" t="s">
        <v>243</v>
      </c>
      <c r="D48" s="159" t="s">
        <v>133</v>
      </c>
      <c r="E48" s="159" t="s">
        <v>99</v>
      </c>
      <c r="F48" s="159" t="s">
        <v>244</v>
      </c>
      <c r="G48" s="159" t="s">
        <v>245</v>
      </c>
      <c r="H48" s="159" t="s">
        <v>246</v>
      </c>
      <c r="I48" s="159">
        <v>-287000</v>
      </c>
      <c r="J48" s="159"/>
      <c r="K48" s="159"/>
      <c r="L48" s="159"/>
      <c r="M48" s="159"/>
      <c r="N48" s="159"/>
      <c r="O48" s="159"/>
      <c r="P48" s="159"/>
      <c r="Q48" s="159">
        <v>-287000</v>
      </c>
      <c r="R48" s="159"/>
      <c r="S48" s="159"/>
      <c r="T48" s="159"/>
      <c r="U48" s="159"/>
      <c r="AG48" s="109"/>
      <c r="AI48" s="69"/>
      <c r="AJ48" s="69"/>
      <c r="AK48" s="69"/>
      <c r="AL48" s="69"/>
      <c r="AQ48" s="9"/>
      <c r="AR48" s="9"/>
    </row>
    <row r="49" spans="1:44" x14ac:dyDescent="0.25">
      <c r="A49" s="159" t="s">
        <v>169</v>
      </c>
      <c r="B49" s="159" t="s">
        <v>98</v>
      </c>
      <c r="C49" s="159" t="s">
        <v>157</v>
      </c>
      <c r="D49" s="159" t="s">
        <v>119</v>
      </c>
      <c r="E49" s="159" t="s">
        <v>133</v>
      </c>
      <c r="F49" s="159" t="s">
        <v>169</v>
      </c>
      <c r="G49" s="159"/>
      <c r="H49" s="159" t="s">
        <v>151</v>
      </c>
      <c r="I49" s="159">
        <v>171124</v>
      </c>
      <c r="J49" s="159"/>
      <c r="K49" s="159"/>
      <c r="L49" s="159"/>
      <c r="M49" s="159"/>
      <c r="N49" s="159"/>
      <c r="O49" s="159"/>
      <c r="P49" s="159"/>
      <c r="Q49" s="159"/>
      <c r="R49" s="159">
        <v>171124</v>
      </c>
      <c r="S49" s="159"/>
      <c r="T49" s="159"/>
      <c r="U49" s="159"/>
      <c r="AG49" s="109"/>
      <c r="AI49" s="69"/>
      <c r="AJ49" s="69"/>
      <c r="AK49" s="69"/>
      <c r="AL49" s="69"/>
      <c r="AQ49" s="9"/>
      <c r="AR49" s="9"/>
    </row>
    <row r="50" spans="1:44" x14ac:dyDescent="0.25">
      <c r="A50" s="159" t="s">
        <v>244</v>
      </c>
      <c r="B50" s="159" t="s">
        <v>98</v>
      </c>
      <c r="C50" s="159" t="s">
        <v>243</v>
      </c>
      <c r="D50" s="159" t="s">
        <v>99</v>
      </c>
      <c r="E50" s="159" t="s">
        <v>133</v>
      </c>
      <c r="F50" s="159" t="s">
        <v>244</v>
      </c>
      <c r="G50" s="159" t="s">
        <v>245</v>
      </c>
      <c r="H50" s="159" t="s">
        <v>246</v>
      </c>
      <c r="I50" s="159">
        <v>287000</v>
      </c>
      <c r="J50" s="159"/>
      <c r="K50" s="159"/>
      <c r="L50" s="159"/>
      <c r="M50" s="159"/>
      <c r="N50" s="159"/>
      <c r="O50" s="159"/>
      <c r="P50" s="159"/>
      <c r="Q50" s="159">
        <v>287000</v>
      </c>
      <c r="R50" s="159"/>
      <c r="S50" s="159"/>
      <c r="T50" s="159"/>
      <c r="U50" s="159"/>
      <c r="AG50" s="109"/>
      <c r="AI50" s="69"/>
      <c r="AJ50" s="69"/>
      <c r="AK50" s="69"/>
      <c r="AL50" s="69"/>
      <c r="AQ50" s="9"/>
      <c r="AR50" s="9"/>
    </row>
    <row r="51" spans="1:44" ht="15.75" x14ac:dyDescent="0.25">
      <c r="A51" s="175" t="s">
        <v>83</v>
      </c>
      <c r="B51" s="175"/>
      <c r="C51" s="175"/>
      <c r="D51" s="175"/>
      <c r="E51" s="175"/>
      <c r="F51" s="175"/>
      <c r="G51" s="175"/>
      <c r="AK51" s="69"/>
      <c r="AL51" s="69"/>
      <c r="AM51" s="69"/>
      <c r="AN51" s="69"/>
    </row>
    <row r="53" spans="1:44" x14ac:dyDescent="0.25">
      <c r="A53" s="69" t="s">
        <v>45</v>
      </c>
      <c r="B53" s="69" t="s">
        <v>46</v>
      </c>
      <c r="C53" s="69" t="s">
        <v>13</v>
      </c>
      <c r="D53" s="69" t="s">
        <v>91</v>
      </c>
      <c r="E53" s="69" t="s">
        <v>92</v>
      </c>
      <c r="F53" s="69" t="s">
        <v>47</v>
      </c>
      <c r="G53" s="69" t="s">
        <v>93</v>
      </c>
      <c r="H53" s="69" t="s">
        <v>94</v>
      </c>
      <c r="I53" s="69" t="s">
        <v>10</v>
      </c>
      <c r="J53" s="69" t="s">
        <v>43</v>
      </c>
      <c r="K53" s="69" t="s">
        <v>180</v>
      </c>
      <c r="L53" s="69" t="s">
        <v>192</v>
      </c>
      <c r="M53" s="69" t="s">
        <v>4</v>
      </c>
      <c r="N53" s="69" t="s">
        <v>189</v>
      </c>
      <c r="O53" s="69" t="s">
        <v>5</v>
      </c>
      <c r="P53" s="69" t="s">
        <v>109</v>
      </c>
      <c r="Q53" s="69" t="s">
        <v>115</v>
      </c>
      <c r="R53" s="69" t="s">
        <v>182</v>
      </c>
      <c r="S53" s="69" t="s">
        <v>183</v>
      </c>
      <c r="T53" s="69" t="s">
        <v>184</v>
      </c>
      <c r="U53" s="69" t="s">
        <v>185</v>
      </c>
      <c r="V53" s="69"/>
      <c r="W53" s="69"/>
      <c r="AF53" s="9"/>
      <c r="AG53" s="9"/>
      <c r="AH53" s="9"/>
      <c r="AI53" s="9"/>
      <c r="AJ53" s="9"/>
      <c r="AK53" s="9"/>
      <c r="AL53" s="9"/>
      <c r="AM53" s="9"/>
      <c r="AN53" s="9"/>
      <c r="AO53" s="9"/>
      <c r="AP53" s="9"/>
      <c r="AQ53" s="9"/>
      <c r="AR53" s="9"/>
    </row>
    <row r="54" spans="1:44" x14ac:dyDescent="0.25">
      <c r="A54" s="31" t="s">
        <v>100</v>
      </c>
      <c r="B54" s="31" t="s">
        <v>125</v>
      </c>
      <c r="C54" s="31" t="s">
        <v>135</v>
      </c>
      <c r="D54" s="31" t="s">
        <v>136</v>
      </c>
      <c r="E54" s="31" t="s">
        <v>133</v>
      </c>
      <c r="F54" s="31" t="s">
        <v>101</v>
      </c>
      <c r="G54" s="31" t="s">
        <v>137</v>
      </c>
      <c r="H54" s="31" t="s">
        <v>138</v>
      </c>
      <c r="I54" s="31">
        <v>120639</v>
      </c>
      <c r="J54" s="31"/>
      <c r="K54" s="31"/>
      <c r="L54" s="31"/>
      <c r="M54" s="31">
        <v>120639</v>
      </c>
      <c r="N54" s="31"/>
      <c r="O54" s="31"/>
      <c r="P54" s="31"/>
      <c r="Q54" s="31"/>
      <c r="R54" s="31"/>
      <c r="S54" s="69"/>
      <c r="T54" s="69"/>
      <c r="U54" s="137"/>
      <c r="V54" s="110"/>
      <c r="W54" s="69"/>
      <c r="AF54" s="9"/>
      <c r="AG54" s="9"/>
      <c r="AH54" s="9"/>
      <c r="AI54" s="9"/>
      <c r="AJ54" s="9"/>
      <c r="AK54" s="9"/>
      <c r="AL54" s="9"/>
      <c r="AM54" s="9"/>
      <c r="AN54" s="9"/>
      <c r="AO54" s="9"/>
      <c r="AP54" s="9"/>
      <c r="AQ54" s="9"/>
      <c r="AR54" s="9"/>
    </row>
    <row r="55" spans="1:44" x14ac:dyDescent="0.25">
      <c r="A55" s="69" t="s">
        <v>100</v>
      </c>
      <c r="B55" s="69" t="s">
        <v>118</v>
      </c>
      <c r="C55" s="69" t="s">
        <v>139</v>
      </c>
      <c r="D55" s="69" t="s">
        <v>140</v>
      </c>
      <c r="E55" s="69" t="s">
        <v>133</v>
      </c>
      <c r="F55" s="69" t="s">
        <v>105</v>
      </c>
      <c r="G55" s="69" t="s">
        <v>141</v>
      </c>
      <c r="H55" s="69" t="s">
        <v>142</v>
      </c>
      <c r="I55" s="69">
        <v>150000</v>
      </c>
      <c r="J55" s="69"/>
      <c r="K55" s="69"/>
      <c r="L55" s="69"/>
      <c r="M55" s="69"/>
      <c r="N55" s="69"/>
      <c r="O55" s="69"/>
      <c r="P55" s="69"/>
      <c r="Q55" s="69"/>
      <c r="R55" s="69">
        <v>150000</v>
      </c>
      <c r="S55" s="69"/>
      <c r="T55" s="69"/>
      <c r="U55" s="137"/>
      <c r="V55" s="110"/>
      <c r="W55" s="69"/>
      <c r="AF55" s="9"/>
      <c r="AG55" s="9"/>
      <c r="AH55" s="9"/>
      <c r="AI55" s="9"/>
      <c r="AJ55" s="9"/>
      <c r="AK55" s="9"/>
      <c r="AL55" s="9"/>
      <c r="AM55" s="9"/>
      <c r="AN55" s="9"/>
      <c r="AO55" s="9"/>
      <c r="AP55" s="9"/>
      <c r="AQ55" s="9"/>
      <c r="AR55" s="9"/>
    </row>
    <row r="56" spans="1:44" x14ac:dyDescent="0.25">
      <c r="A56" s="69" t="s">
        <v>102</v>
      </c>
      <c r="B56" s="69" t="s">
        <v>125</v>
      </c>
      <c r="C56" s="69" t="s">
        <v>143</v>
      </c>
      <c r="D56" s="69" t="s">
        <v>126</v>
      </c>
      <c r="E56" s="69" t="s">
        <v>133</v>
      </c>
      <c r="F56" s="69" t="s">
        <v>101</v>
      </c>
      <c r="G56" s="69"/>
      <c r="H56" s="69" t="s">
        <v>144</v>
      </c>
      <c r="I56" s="69">
        <v>280053</v>
      </c>
      <c r="J56" s="69"/>
      <c r="K56" s="69"/>
      <c r="L56" s="69"/>
      <c r="M56" s="69"/>
      <c r="N56" s="69"/>
      <c r="O56" s="69"/>
      <c r="P56" s="69"/>
      <c r="Q56" s="69"/>
      <c r="R56" s="69">
        <v>280053</v>
      </c>
      <c r="S56" s="69"/>
      <c r="T56" s="69"/>
      <c r="U56" s="137"/>
      <c r="V56" s="110"/>
      <c r="W56" s="69"/>
      <c r="AF56" s="9"/>
      <c r="AG56" s="9"/>
      <c r="AH56" s="9"/>
      <c r="AI56" s="9"/>
      <c r="AJ56" s="9"/>
      <c r="AK56" s="9"/>
      <c r="AL56" s="9"/>
      <c r="AM56" s="9"/>
      <c r="AN56" s="9"/>
      <c r="AO56" s="9"/>
      <c r="AP56" s="9"/>
      <c r="AQ56" s="9"/>
      <c r="AR56" s="9"/>
    </row>
    <row r="57" spans="1:44" x14ac:dyDescent="0.25">
      <c r="A57" s="69" t="s">
        <v>102</v>
      </c>
      <c r="B57" s="69" t="s">
        <v>97</v>
      </c>
      <c r="C57" s="69" t="s">
        <v>145</v>
      </c>
      <c r="D57" s="69" t="s">
        <v>133</v>
      </c>
      <c r="E57" s="69" t="s">
        <v>140</v>
      </c>
      <c r="F57" s="69" t="s">
        <v>107</v>
      </c>
      <c r="G57" s="69"/>
      <c r="H57" s="69" t="s">
        <v>146</v>
      </c>
      <c r="I57" s="69">
        <v>-113148</v>
      </c>
      <c r="J57" s="69"/>
      <c r="K57" s="69"/>
      <c r="L57" s="69"/>
      <c r="M57" s="69">
        <v>-113148</v>
      </c>
      <c r="N57" s="69"/>
      <c r="O57" s="69"/>
      <c r="P57" s="69"/>
      <c r="Q57" s="69"/>
      <c r="R57" s="69"/>
      <c r="S57" s="69"/>
      <c r="T57" s="69"/>
      <c r="U57" s="137"/>
      <c r="V57" s="110"/>
      <c r="W57" s="69"/>
      <c r="X57" s="9"/>
      <c r="Y57" s="9"/>
      <c r="Z57" s="9"/>
      <c r="AA57" s="9"/>
      <c r="AB57" s="9"/>
      <c r="AC57" s="9"/>
      <c r="AD57" s="9"/>
      <c r="AE57" s="9"/>
      <c r="AF57" s="9"/>
      <c r="AG57" s="9"/>
      <c r="AH57" s="9"/>
      <c r="AI57" s="9"/>
      <c r="AJ57" s="9"/>
      <c r="AK57" s="9"/>
      <c r="AL57" s="9"/>
      <c r="AM57" s="9"/>
      <c r="AN57" s="9"/>
      <c r="AO57" s="9"/>
      <c r="AP57" s="9"/>
      <c r="AQ57" s="9"/>
      <c r="AR57" s="9"/>
    </row>
    <row r="58" spans="1:44" x14ac:dyDescent="0.25">
      <c r="A58" s="69" t="s">
        <v>101</v>
      </c>
      <c r="B58" s="69" t="s">
        <v>97</v>
      </c>
      <c r="C58" s="69" t="s">
        <v>147</v>
      </c>
      <c r="D58" s="69" t="s">
        <v>133</v>
      </c>
      <c r="E58" s="69" t="s">
        <v>99</v>
      </c>
      <c r="F58" s="69" t="s">
        <v>107</v>
      </c>
      <c r="G58" s="69" t="s">
        <v>148</v>
      </c>
      <c r="H58" s="69" t="s">
        <v>149</v>
      </c>
      <c r="I58" s="69">
        <v>-70069</v>
      </c>
      <c r="J58" s="69"/>
      <c r="K58" s="69"/>
      <c r="L58" s="69"/>
      <c r="M58" s="69">
        <v>-70069</v>
      </c>
      <c r="N58" s="69"/>
      <c r="O58" s="69"/>
      <c r="P58" s="69"/>
      <c r="Q58" s="69"/>
      <c r="R58" s="69"/>
      <c r="S58" s="69"/>
      <c r="T58" s="69"/>
      <c r="U58" s="137"/>
      <c r="V58" s="110"/>
      <c r="W58" s="69"/>
      <c r="X58" s="9"/>
      <c r="Y58" s="9"/>
      <c r="Z58" s="9"/>
      <c r="AA58" s="9"/>
      <c r="AB58" s="9"/>
      <c r="AC58" s="9"/>
      <c r="AD58" s="9"/>
      <c r="AE58" s="9"/>
      <c r="AF58" s="9"/>
      <c r="AG58" s="9"/>
      <c r="AH58" s="9"/>
      <c r="AI58" s="9"/>
      <c r="AJ58" s="9"/>
      <c r="AK58" s="9"/>
      <c r="AL58" s="9"/>
      <c r="AM58" s="9"/>
      <c r="AN58" s="9"/>
      <c r="AO58" s="9"/>
      <c r="AP58" s="9"/>
      <c r="AQ58" s="9"/>
      <c r="AR58" s="9"/>
    </row>
    <row r="59" spans="1:44" x14ac:dyDescent="0.25">
      <c r="A59" s="69" t="s">
        <v>101</v>
      </c>
      <c r="B59" s="69" t="s">
        <v>97</v>
      </c>
      <c r="C59" s="69" t="s">
        <v>150</v>
      </c>
      <c r="D59" s="69" t="s">
        <v>133</v>
      </c>
      <c r="E59" s="69" t="s">
        <v>119</v>
      </c>
      <c r="F59" s="69" t="s">
        <v>107</v>
      </c>
      <c r="G59" s="69"/>
      <c r="H59" s="69" t="s">
        <v>151</v>
      </c>
      <c r="I59" s="69">
        <v>-633480</v>
      </c>
      <c r="J59" s="69"/>
      <c r="K59" s="69"/>
      <c r="L59" s="69"/>
      <c r="M59" s="69"/>
      <c r="N59" s="69"/>
      <c r="O59" s="69"/>
      <c r="P59" s="69"/>
      <c r="Q59" s="69"/>
      <c r="R59" s="69">
        <v>-633480</v>
      </c>
      <c r="S59" s="69"/>
      <c r="T59" s="69"/>
      <c r="U59" s="137"/>
      <c r="V59" s="110"/>
      <c r="W59" s="69"/>
      <c r="X59" s="9"/>
      <c r="Y59" s="9"/>
      <c r="Z59" s="9"/>
      <c r="AA59" s="9"/>
      <c r="AB59" s="9"/>
      <c r="AC59" s="9"/>
      <c r="AD59" s="9"/>
      <c r="AE59" s="9"/>
      <c r="AF59" s="9"/>
      <c r="AG59" s="9"/>
      <c r="AH59" s="9"/>
      <c r="AI59" s="9"/>
      <c r="AJ59" s="9"/>
      <c r="AK59" s="9"/>
      <c r="AL59" s="9"/>
      <c r="AM59" s="9"/>
      <c r="AN59" s="9"/>
      <c r="AO59" s="9"/>
      <c r="AP59" s="9"/>
      <c r="AQ59" s="9"/>
      <c r="AR59" s="9"/>
    </row>
    <row r="60" spans="1:44" x14ac:dyDescent="0.25">
      <c r="A60" s="83" t="s">
        <v>101</v>
      </c>
      <c r="B60" s="83" t="s">
        <v>127</v>
      </c>
      <c r="C60" s="83" t="s">
        <v>143</v>
      </c>
      <c r="D60" s="83" t="s">
        <v>133</v>
      </c>
      <c r="E60" s="83" t="s">
        <v>126</v>
      </c>
      <c r="F60" s="83" t="s">
        <v>101</v>
      </c>
      <c r="G60" s="83"/>
      <c r="H60" s="83" t="s">
        <v>144</v>
      </c>
      <c r="I60" s="83">
        <v>-280053</v>
      </c>
      <c r="J60" s="83"/>
      <c r="K60" s="83"/>
      <c r="L60" s="83"/>
      <c r="M60" s="83"/>
      <c r="N60" s="83"/>
      <c r="O60" s="83"/>
      <c r="P60" s="83"/>
      <c r="Q60" s="83"/>
      <c r="R60" s="83">
        <v>-280053</v>
      </c>
      <c r="S60" s="83"/>
      <c r="T60" s="83"/>
      <c r="U60" s="138"/>
      <c r="V60" s="111"/>
      <c r="W60" s="83"/>
      <c r="X60" s="9"/>
      <c r="Y60" s="9"/>
      <c r="Z60" s="9"/>
      <c r="AA60" s="9"/>
      <c r="AB60" s="9"/>
      <c r="AC60" s="9"/>
      <c r="AD60" s="9"/>
      <c r="AE60" s="9"/>
      <c r="AF60" s="9"/>
      <c r="AG60" s="9"/>
      <c r="AH60" s="9"/>
      <c r="AI60" s="9"/>
      <c r="AJ60" s="9"/>
      <c r="AK60" s="9"/>
      <c r="AL60" s="9"/>
      <c r="AM60" s="9"/>
      <c r="AN60" s="9"/>
      <c r="AO60" s="9"/>
      <c r="AP60" s="9"/>
      <c r="AQ60" s="9"/>
      <c r="AR60" s="9"/>
    </row>
    <row r="61" spans="1:44" x14ac:dyDescent="0.25">
      <c r="A61" s="96" t="s">
        <v>101</v>
      </c>
      <c r="B61" s="96" t="s">
        <v>127</v>
      </c>
      <c r="C61" s="96" t="s">
        <v>135</v>
      </c>
      <c r="D61" s="96" t="s">
        <v>133</v>
      </c>
      <c r="E61" s="96" t="s">
        <v>136</v>
      </c>
      <c r="F61" s="96"/>
      <c r="G61" s="96" t="s">
        <v>137</v>
      </c>
      <c r="H61" s="96" t="s">
        <v>152</v>
      </c>
      <c r="I61" s="96">
        <v>-120639</v>
      </c>
      <c r="J61" s="96"/>
      <c r="K61" s="96"/>
      <c r="L61" s="96"/>
      <c r="M61" s="96">
        <v>-120639</v>
      </c>
      <c r="N61" s="96"/>
      <c r="O61" s="96"/>
      <c r="P61" s="96"/>
      <c r="Q61" s="96"/>
      <c r="R61" s="96"/>
      <c r="S61" s="96"/>
      <c r="T61" s="96"/>
      <c r="U61" s="138"/>
      <c r="V61" s="111"/>
      <c r="W61" s="96"/>
      <c r="X61" s="9"/>
      <c r="Y61" s="9"/>
      <c r="Z61" s="9"/>
      <c r="AA61" s="9"/>
      <c r="AB61" s="9"/>
      <c r="AC61" s="9"/>
      <c r="AD61" s="9"/>
      <c r="AE61" s="9"/>
      <c r="AF61" s="9"/>
      <c r="AG61" s="9"/>
      <c r="AH61" s="9"/>
      <c r="AI61" s="9"/>
      <c r="AJ61" s="9"/>
      <c r="AK61" s="9"/>
      <c r="AL61" s="9"/>
      <c r="AM61" s="9"/>
      <c r="AN61" s="9"/>
      <c r="AO61" s="9"/>
      <c r="AP61" s="9"/>
      <c r="AQ61" s="9"/>
      <c r="AR61" s="9"/>
    </row>
    <row r="62" spans="1:44" x14ac:dyDescent="0.25">
      <c r="A62" s="96" t="s">
        <v>107</v>
      </c>
      <c r="B62" s="96" t="s">
        <v>125</v>
      </c>
      <c r="C62" s="96" t="s">
        <v>153</v>
      </c>
      <c r="D62" s="96" t="s">
        <v>126</v>
      </c>
      <c r="E62" s="96" t="s">
        <v>133</v>
      </c>
      <c r="F62" s="96" t="s">
        <v>108</v>
      </c>
      <c r="G62" s="96" t="s">
        <v>128</v>
      </c>
      <c r="H62" s="96" t="s">
        <v>154</v>
      </c>
      <c r="I62" s="96">
        <v>151000</v>
      </c>
      <c r="J62" s="96"/>
      <c r="K62" s="96"/>
      <c r="L62" s="96"/>
      <c r="M62" s="96"/>
      <c r="N62" s="96"/>
      <c r="O62" s="96"/>
      <c r="P62" s="96"/>
      <c r="Q62" s="96"/>
      <c r="R62" s="96">
        <v>151000</v>
      </c>
      <c r="S62" s="96"/>
      <c r="T62" s="96"/>
      <c r="U62" s="138"/>
      <c r="V62" s="111"/>
      <c r="W62" s="96"/>
      <c r="X62" s="9"/>
      <c r="Y62" s="9"/>
      <c r="Z62" s="9"/>
      <c r="AA62" s="9"/>
      <c r="AB62" s="9"/>
      <c r="AC62" s="9"/>
      <c r="AD62" s="9"/>
      <c r="AE62" s="9"/>
      <c r="AF62" s="9"/>
      <c r="AG62" s="9"/>
      <c r="AH62" s="9"/>
      <c r="AI62" s="9"/>
      <c r="AJ62" s="9"/>
      <c r="AK62" s="9"/>
      <c r="AL62" s="9"/>
      <c r="AM62" s="9"/>
      <c r="AN62" s="9"/>
      <c r="AO62" s="9"/>
      <c r="AP62" s="9"/>
      <c r="AQ62" s="9"/>
      <c r="AR62" s="9"/>
    </row>
    <row r="63" spans="1:44" x14ac:dyDescent="0.25">
      <c r="A63" s="101" t="s">
        <v>107</v>
      </c>
      <c r="B63" s="101" t="s">
        <v>97</v>
      </c>
      <c r="C63" s="101" t="s">
        <v>155</v>
      </c>
      <c r="D63" s="101" t="s">
        <v>133</v>
      </c>
      <c r="E63" s="101" t="s">
        <v>99</v>
      </c>
      <c r="F63" s="101" t="s">
        <v>108</v>
      </c>
      <c r="G63" s="101"/>
      <c r="H63" s="101" t="s">
        <v>149</v>
      </c>
      <c r="I63" s="101">
        <v>-132200</v>
      </c>
      <c r="J63" s="101"/>
      <c r="K63" s="101"/>
      <c r="L63" s="101"/>
      <c r="M63" s="101">
        <v>-132200</v>
      </c>
      <c r="N63" s="101"/>
      <c r="O63" s="101"/>
      <c r="P63" s="101"/>
      <c r="Q63" s="101"/>
      <c r="R63" s="101"/>
      <c r="S63" s="101"/>
      <c r="T63" s="101"/>
      <c r="U63" s="138"/>
      <c r="V63" s="111"/>
      <c r="W63" s="101"/>
      <c r="X63" s="9"/>
      <c r="Y63" s="9"/>
      <c r="Z63" s="9"/>
      <c r="AA63" s="9"/>
      <c r="AB63" s="9"/>
      <c r="AC63" s="9"/>
      <c r="AD63" s="9"/>
      <c r="AE63" s="9"/>
      <c r="AF63" s="9"/>
      <c r="AG63" s="9"/>
      <c r="AH63" s="9"/>
      <c r="AI63" s="9"/>
      <c r="AJ63" s="9"/>
      <c r="AK63" s="9"/>
      <c r="AL63" s="9"/>
      <c r="AM63" s="9"/>
      <c r="AN63" s="9"/>
      <c r="AO63" s="9"/>
      <c r="AP63" s="9"/>
      <c r="AQ63" s="9"/>
      <c r="AR63" s="9"/>
    </row>
    <row r="64" spans="1:44" x14ac:dyDescent="0.25">
      <c r="A64" s="101" t="s">
        <v>107</v>
      </c>
      <c r="B64" s="101" t="s">
        <v>97</v>
      </c>
      <c r="C64" s="101" t="s">
        <v>156</v>
      </c>
      <c r="D64" s="101" t="s">
        <v>133</v>
      </c>
      <c r="E64" s="101" t="s">
        <v>99</v>
      </c>
      <c r="F64" s="101" t="s">
        <v>108</v>
      </c>
      <c r="G64" s="101"/>
      <c r="H64" s="101" t="s">
        <v>149</v>
      </c>
      <c r="I64" s="101">
        <v>-73889</v>
      </c>
      <c r="J64" s="101"/>
      <c r="K64" s="101"/>
      <c r="L64" s="101"/>
      <c r="M64" s="101">
        <v>-73889</v>
      </c>
      <c r="N64" s="101"/>
      <c r="O64" s="101"/>
      <c r="P64" s="101"/>
      <c r="Q64" s="101"/>
      <c r="R64" s="101"/>
      <c r="S64" s="101"/>
      <c r="T64" s="101"/>
      <c r="U64" s="138"/>
      <c r="V64" s="111"/>
      <c r="W64" s="101"/>
      <c r="X64" s="9"/>
      <c r="Y64" s="9"/>
      <c r="Z64" s="9"/>
      <c r="AA64" s="9"/>
      <c r="AB64" s="9"/>
      <c r="AC64" s="9"/>
      <c r="AD64" s="9"/>
      <c r="AE64" s="9"/>
      <c r="AF64" s="9"/>
      <c r="AG64" s="9"/>
      <c r="AH64" s="9"/>
      <c r="AI64" s="9"/>
      <c r="AJ64" s="9"/>
      <c r="AK64" s="9"/>
      <c r="AL64" s="9"/>
      <c r="AM64" s="9"/>
      <c r="AN64" s="9"/>
      <c r="AO64" s="9"/>
      <c r="AP64" s="9"/>
      <c r="AQ64" s="9"/>
      <c r="AR64" s="9"/>
    </row>
    <row r="65" spans="1:44" x14ac:dyDescent="0.25">
      <c r="A65" s="25" t="s">
        <v>107</v>
      </c>
      <c r="B65" s="25" t="s">
        <v>97</v>
      </c>
      <c r="C65" s="25" t="s">
        <v>157</v>
      </c>
      <c r="D65" s="25" t="s">
        <v>133</v>
      </c>
      <c r="E65" s="25" t="s">
        <v>119</v>
      </c>
      <c r="F65" s="25" t="s">
        <v>158</v>
      </c>
      <c r="H65" s="25" t="s">
        <v>151</v>
      </c>
      <c r="I65" s="25">
        <v>-196124</v>
      </c>
      <c r="R65" s="25">
        <v>-196124</v>
      </c>
      <c r="U65" s="138"/>
      <c r="V65" s="111"/>
      <c r="AB65" s="9"/>
      <c r="AC65" s="9"/>
      <c r="AD65" s="9"/>
      <c r="AE65" s="9"/>
      <c r="AF65" s="9"/>
      <c r="AG65" s="9"/>
      <c r="AH65" s="9"/>
      <c r="AI65" s="9"/>
      <c r="AJ65" s="9"/>
      <c r="AK65" s="9"/>
      <c r="AL65" s="9"/>
      <c r="AM65" s="9"/>
      <c r="AN65" s="9"/>
      <c r="AO65" s="9"/>
      <c r="AP65" s="9"/>
      <c r="AQ65" s="9"/>
      <c r="AR65" s="9"/>
    </row>
    <row r="66" spans="1:44" x14ac:dyDescent="0.25">
      <c r="A66" s="25" t="s">
        <v>107</v>
      </c>
      <c r="B66" s="25" t="s">
        <v>98</v>
      </c>
      <c r="C66" s="25" t="s">
        <v>145</v>
      </c>
      <c r="D66" s="25" t="s">
        <v>140</v>
      </c>
      <c r="E66" s="25" t="s">
        <v>133</v>
      </c>
      <c r="F66" s="25" t="s">
        <v>107</v>
      </c>
      <c r="H66" s="25" t="s">
        <v>146</v>
      </c>
      <c r="I66" s="25">
        <v>113148</v>
      </c>
      <c r="M66" s="25">
        <v>113148</v>
      </c>
      <c r="U66" s="138"/>
      <c r="V66" s="111"/>
      <c r="AB66" s="9"/>
      <c r="AC66" s="9"/>
      <c r="AD66" s="9"/>
      <c r="AE66" s="9"/>
      <c r="AF66" s="9"/>
      <c r="AG66" s="9"/>
      <c r="AH66" s="9"/>
      <c r="AI66" s="9"/>
      <c r="AJ66" s="9"/>
      <c r="AK66" s="9"/>
      <c r="AL66" s="9"/>
      <c r="AM66" s="9"/>
      <c r="AN66" s="9"/>
      <c r="AO66" s="9"/>
      <c r="AP66" s="9"/>
      <c r="AQ66" s="9"/>
      <c r="AR66" s="9"/>
    </row>
    <row r="67" spans="1:44" x14ac:dyDescent="0.25">
      <c r="A67" s="111" t="s">
        <v>107</v>
      </c>
      <c r="B67" s="111" t="s">
        <v>98</v>
      </c>
      <c r="C67" s="111" t="s">
        <v>147</v>
      </c>
      <c r="D67" s="111" t="s">
        <v>99</v>
      </c>
      <c r="E67" s="111" t="s">
        <v>133</v>
      </c>
      <c r="F67" s="111" t="s">
        <v>107</v>
      </c>
      <c r="G67" s="111" t="s">
        <v>148</v>
      </c>
      <c r="H67" s="111" t="s">
        <v>149</v>
      </c>
      <c r="I67" s="111">
        <v>70069</v>
      </c>
      <c r="J67" s="111"/>
      <c r="K67" s="111"/>
      <c r="L67" s="111"/>
      <c r="M67" s="111">
        <v>70069</v>
      </c>
      <c r="N67" s="111"/>
      <c r="O67" s="111"/>
      <c r="P67" s="111"/>
      <c r="Q67" s="111"/>
      <c r="R67" s="111"/>
      <c r="S67" s="111"/>
      <c r="T67" s="111"/>
      <c r="U67" s="138"/>
      <c r="V67" s="111"/>
      <c r="AB67" s="9"/>
      <c r="AC67" s="9"/>
      <c r="AD67" s="9"/>
      <c r="AE67" s="9"/>
      <c r="AF67" s="9"/>
      <c r="AG67" s="9"/>
      <c r="AH67" s="9"/>
      <c r="AI67" s="9"/>
      <c r="AJ67" s="9"/>
      <c r="AK67" s="9"/>
      <c r="AL67" s="9"/>
      <c r="AM67" s="9"/>
      <c r="AN67" s="9"/>
      <c r="AO67" s="9"/>
      <c r="AP67" s="9"/>
      <c r="AQ67" s="9"/>
      <c r="AR67" s="9"/>
    </row>
    <row r="68" spans="1:44" x14ac:dyDescent="0.25">
      <c r="A68" s="111" t="s">
        <v>107</v>
      </c>
      <c r="B68" s="111" t="s">
        <v>98</v>
      </c>
      <c r="C68" s="111" t="s">
        <v>150</v>
      </c>
      <c r="D68" s="111" t="s">
        <v>119</v>
      </c>
      <c r="E68" s="111" t="s">
        <v>133</v>
      </c>
      <c r="F68" s="111" t="s">
        <v>107</v>
      </c>
      <c r="G68" s="111"/>
      <c r="H68" s="111" t="s">
        <v>151</v>
      </c>
      <c r="I68" s="111">
        <v>633480</v>
      </c>
      <c r="J68" s="111"/>
      <c r="K68" s="111"/>
      <c r="L68" s="111"/>
      <c r="M68" s="111"/>
      <c r="N68" s="111"/>
      <c r="O68" s="111"/>
      <c r="P68" s="111"/>
      <c r="Q68" s="111"/>
      <c r="R68" s="111">
        <v>633480</v>
      </c>
      <c r="S68" s="111"/>
      <c r="T68" s="111"/>
      <c r="U68" s="138"/>
      <c r="V68" s="69"/>
      <c r="W68" s="69"/>
      <c r="AB68" s="9"/>
      <c r="AC68" s="9"/>
      <c r="AD68" s="9"/>
      <c r="AE68" s="9"/>
      <c r="AF68" s="9"/>
      <c r="AG68" s="9"/>
      <c r="AH68" s="9"/>
      <c r="AI68" s="9"/>
      <c r="AJ68" s="9"/>
      <c r="AK68" s="9"/>
      <c r="AL68" s="9"/>
      <c r="AM68" s="9"/>
      <c r="AN68" s="9"/>
      <c r="AO68" s="9"/>
      <c r="AP68" s="9"/>
      <c r="AQ68" s="9"/>
      <c r="AR68" s="9"/>
    </row>
    <row r="69" spans="1:44" x14ac:dyDescent="0.25">
      <c r="A69" s="111" t="s">
        <v>107</v>
      </c>
      <c r="B69" s="111" t="s">
        <v>118</v>
      </c>
      <c r="C69" s="111" t="s">
        <v>159</v>
      </c>
      <c r="D69" s="111" t="s">
        <v>140</v>
      </c>
      <c r="E69" s="111" t="s">
        <v>133</v>
      </c>
      <c r="F69" s="111" t="s">
        <v>105</v>
      </c>
      <c r="G69" s="111" t="s">
        <v>160</v>
      </c>
      <c r="H69" s="111" t="s">
        <v>161</v>
      </c>
      <c r="I69" s="111">
        <v>20000</v>
      </c>
      <c r="J69" s="111"/>
      <c r="K69" s="111"/>
      <c r="L69" s="111"/>
      <c r="M69" s="111">
        <v>20000</v>
      </c>
      <c r="N69" s="111"/>
      <c r="O69" s="111"/>
      <c r="P69" s="111"/>
      <c r="Q69" s="111"/>
      <c r="R69" s="111"/>
      <c r="S69" s="111"/>
      <c r="T69" s="111"/>
      <c r="U69" s="138"/>
      <c r="AB69" s="9"/>
      <c r="AC69" s="9"/>
      <c r="AD69" s="9"/>
      <c r="AE69" s="9"/>
      <c r="AF69" s="9"/>
      <c r="AG69" s="9"/>
      <c r="AH69" s="9"/>
      <c r="AI69" s="9"/>
      <c r="AJ69" s="9"/>
      <c r="AK69" s="9"/>
      <c r="AL69" s="9"/>
      <c r="AM69" s="9"/>
      <c r="AN69" s="9"/>
      <c r="AO69" s="9"/>
      <c r="AP69" s="9"/>
      <c r="AQ69" s="9"/>
      <c r="AR69" s="9"/>
    </row>
    <row r="70" spans="1:44" x14ac:dyDescent="0.25">
      <c r="A70" s="111" t="s">
        <v>107</v>
      </c>
      <c r="B70" s="111" t="s">
        <v>118</v>
      </c>
      <c r="C70" s="111" t="s">
        <v>162</v>
      </c>
      <c r="D70" s="111" t="s">
        <v>119</v>
      </c>
      <c r="E70" s="111" t="s">
        <v>133</v>
      </c>
      <c r="F70" s="111" t="s">
        <v>105</v>
      </c>
      <c r="G70" s="111" t="s">
        <v>120</v>
      </c>
      <c r="H70" s="111" t="s">
        <v>163</v>
      </c>
      <c r="I70" s="111">
        <v>105000</v>
      </c>
      <c r="J70" s="111"/>
      <c r="K70" s="111"/>
      <c r="L70" s="111"/>
      <c r="M70" s="111">
        <v>105000</v>
      </c>
      <c r="N70" s="111"/>
      <c r="O70" s="111"/>
      <c r="P70" s="111"/>
      <c r="Q70" s="111"/>
      <c r="R70" s="111"/>
      <c r="S70" s="111"/>
      <c r="T70" s="111"/>
      <c r="U70" s="138"/>
      <c r="AB70" s="9"/>
      <c r="AC70" s="9"/>
      <c r="AD70" s="9"/>
      <c r="AE70" s="9"/>
      <c r="AF70" s="9"/>
      <c r="AG70" s="9"/>
      <c r="AH70" s="9"/>
      <c r="AI70" s="9"/>
      <c r="AJ70" s="9"/>
      <c r="AK70" s="9"/>
      <c r="AL70" s="9"/>
      <c r="AM70" s="9"/>
      <c r="AN70" s="9"/>
      <c r="AO70" s="9"/>
      <c r="AP70" s="9"/>
      <c r="AQ70" s="9"/>
      <c r="AR70" s="9"/>
    </row>
    <row r="71" spans="1:44" x14ac:dyDescent="0.25">
      <c r="A71" s="111" t="s">
        <v>107</v>
      </c>
      <c r="B71" s="111" t="s">
        <v>114</v>
      </c>
      <c r="C71" s="111" t="s">
        <v>164</v>
      </c>
      <c r="D71" s="111" t="s">
        <v>133</v>
      </c>
      <c r="E71" s="111" t="s">
        <v>99</v>
      </c>
      <c r="F71" s="111" t="s">
        <v>105</v>
      </c>
      <c r="G71" s="111" t="s">
        <v>165</v>
      </c>
      <c r="H71" s="111" t="s">
        <v>166</v>
      </c>
      <c r="I71" s="111">
        <v>-287704</v>
      </c>
      <c r="J71" s="111"/>
      <c r="K71" s="111"/>
      <c r="L71" s="111"/>
      <c r="M71" s="111">
        <v>-287704</v>
      </c>
      <c r="N71" s="111"/>
      <c r="O71" s="111"/>
      <c r="P71" s="111"/>
      <c r="Q71" s="111"/>
      <c r="R71" s="111"/>
      <c r="S71" s="111"/>
      <c r="T71" s="111"/>
      <c r="U71" s="138"/>
      <c r="AB71" s="9"/>
      <c r="AC71" s="9"/>
      <c r="AD71" s="9"/>
      <c r="AE71" s="9"/>
      <c r="AF71" s="9"/>
      <c r="AG71" s="9"/>
      <c r="AH71" s="9"/>
      <c r="AI71" s="9"/>
      <c r="AJ71" s="9"/>
      <c r="AK71" s="9"/>
      <c r="AL71" s="9"/>
      <c r="AM71" s="9"/>
      <c r="AN71" s="9"/>
      <c r="AO71" s="9"/>
      <c r="AP71" s="9"/>
      <c r="AQ71" s="9"/>
      <c r="AR71" s="9"/>
    </row>
    <row r="72" spans="1:44" x14ac:dyDescent="0.25">
      <c r="A72" s="111" t="s">
        <v>108</v>
      </c>
      <c r="B72" s="111" t="s">
        <v>98</v>
      </c>
      <c r="C72" s="111" t="s">
        <v>155</v>
      </c>
      <c r="D72" s="111" t="s">
        <v>99</v>
      </c>
      <c r="E72" s="111" t="s">
        <v>133</v>
      </c>
      <c r="F72" s="111" t="s">
        <v>108</v>
      </c>
      <c r="G72" s="111"/>
      <c r="H72" s="111" t="s">
        <v>149</v>
      </c>
      <c r="I72" s="111">
        <v>132200</v>
      </c>
      <c r="J72" s="111"/>
      <c r="K72" s="111"/>
      <c r="L72" s="111"/>
      <c r="M72" s="111">
        <v>132200</v>
      </c>
      <c r="N72" s="111"/>
      <c r="O72" s="111"/>
      <c r="P72" s="111"/>
      <c r="Q72" s="111"/>
      <c r="R72" s="111"/>
      <c r="S72" s="111"/>
      <c r="T72" s="111"/>
      <c r="U72" s="138"/>
      <c r="AB72" s="9"/>
      <c r="AC72" s="9"/>
      <c r="AD72" s="9"/>
      <c r="AE72" s="9"/>
      <c r="AF72" s="9"/>
      <c r="AG72" s="9"/>
      <c r="AH72" s="9"/>
      <c r="AI72" s="9"/>
      <c r="AJ72" s="9"/>
      <c r="AK72" s="9"/>
      <c r="AL72" s="9"/>
      <c r="AM72" s="9"/>
      <c r="AN72" s="9"/>
      <c r="AO72" s="9"/>
      <c r="AP72" s="9"/>
      <c r="AQ72" s="9"/>
      <c r="AR72" s="9"/>
    </row>
    <row r="73" spans="1:44" x14ac:dyDescent="0.25">
      <c r="A73" s="111" t="s">
        <v>108</v>
      </c>
      <c r="B73" s="111" t="s">
        <v>98</v>
      </c>
      <c r="C73" s="111" t="s">
        <v>156</v>
      </c>
      <c r="D73" s="111" t="s">
        <v>99</v>
      </c>
      <c r="E73" s="111" t="s">
        <v>133</v>
      </c>
      <c r="F73" s="111" t="s">
        <v>108</v>
      </c>
      <c r="G73" s="111"/>
      <c r="H73" s="111" t="s">
        <v>149</v>
      </c>
      <c r="I73" s="111">
        <v>73889</v>
      </c>
      <c r="J73" s="111"/>
      <c r="K73" s="111"/>
      <c r="L73" s="111"/>
      <c r="M73" s="111">
        <v>73889</v>
      </c>
      <c r="N73" s="111"/>
      <c r="O73" s="111"/>
      <c r="P73" s="111"/>
      <c r="Q73" s="111"/>
      <c r="R73" s="111"/>
      <c r="S73" s="111"/>
      <c r="T73" s="111"/>
      <c r="U73" s="138"/>
      <c r="AB73" s="9"/>
      <c r="AC73" s="9"/>
      <c r="AD73" s="9"/>
      <c r="AE73" s="9"/>
      <c r="AF73" s="9"/>
      <c r="AG73" s="9"/>
      <c r="AH73" s="9"/>
      <c r="AI73" s="9"/>
      <c r="AJ73" s="9"/>
      <c r="AK73" s="9"/>
      <c r="AL73" s="9"/>
      <c r="AM73" s="9"/>
      <c r="AN73" s="9"/>
      <c r="AO73" s="9"/>
      <c r="AP73" s="9"/>
      <c r="AQ73" s="9"/>
      <c r="AR73" s="9"/>
    </row>
    <row r="74" spans="1:44" x14ac:dyDescent="0.25">
      <c r="A74" s="111" t="s">
        <v>108</v>
      </c>
      <c r="B74" s="111" t="s">
        <v>98</v>
      </c>
      <c r="C74" s="111" t="s">
        <v>157</v>
      </c>
      <c r="D74" s="111" t="s">
        <v>119</v>
      </c>
      <c r="E74" s="111" t="s">
        <v>133</v>
      </c>
      <c r="F74" s="111" t="s">
        <v>108</v>
      </c>
      <c r="G74" s="111"/>
      <c r="H74" s="111" t="s">
        <v>151</v>
      </c>
      <c r="I74" s="111">
        <v>25000</v>
      </c>
      <c r="J74" s="111"/>
      <c r="K74" s="111"/>
      <c r="L74" s="111"/>
      <c r="M74" s="111"/>
      <c r="N74" s="111"/>
      <c r="O74" s="111"/>
      <c r="P74" s="111"/>
      <c r="Q74" s="111"/>
      <c r="R74" s="111">
        <v>25000</v>
      </c>
      <c r="S74" s="111"/>
      <c r="T74" s="111"/>
      <c r="U74" s="138"/>
      <c r="AB74" s="9"/>
      <c r="AC74" s="9"/>
      <c r="AD74" s="9"/>
      <c r="AE74" s="9"/>
      <c r="AF74" s="9"/>
      <c r="AG74" s="9"/>
      <c r="AH74" s="9"/>
      <c r="AI74" s="9"/>
      <c r="AJ74" s="9"/>
      <c r="AK74" s="9"/>
      <c r="AL74" s="9"/>
      <c r="AM74" s="9"/>
      <c r="AN74" s="9"/>
      <c r="AO74" s="9"/>
      <c r="AP74" s="9"/>
      <c r="AQ74" s="9"/>
      <c r="AR74" s="9"/>
    </row>
    <row r="75" spans="1:44" x14ac:dyDescent="0.25">
      <c r="A75" s="111" t="s">
        <v>108</v>
      </c>
      <c r="B75" s="111" t="s">
        <v>127</v>
      </c>
      <c r="C75" s="111" t="s">
        <v>153</v>
      </c>
      <c r="D75" s="111" t="s">
        <v>133</v>
      </c>
      <c r="E75" s="111" t="s">
        <v>126</v>
      </c>
      <c r="F75" s="111" t="s">
        <v>108</v>
      </c>
      <c r="G75" s="111" t="s">
        <v>128</v>
      </c>
      <c r="H75" s="111" t="s">
        <v>154</v>
      </c>
      <c r="I75" s="111">
        <v>-151000</v>
      </c>
      <c r="J75" s="111"/>
      <c r="K75" s="111"/>
      <c r="L75" s="111"/>
      <c r="M75" s="111"/>
      <c r="N75" s="111"/>
      <c r="O75" s="111"/>
      <c r="P75" s="111"/>
      <c r="Q75" s="111"/>
      <c r="R75" s="111">
        <v>-151000</v>
      </c>
      <c r="S75" s="111"/>
      <c r="T75" s="111"/>
      <c r="U75" s="138"/>
      <c r="AB75" s="9"/>
      <c r="AC75" s="9"/>
      <c r="AD75" s="9"/>
      <c r="AE75" s="9"/>
      <c r="AF75" s="9"/>
      <c r="AG75" s="9"/>
      <c r="AH75" s="9"/>
      <c r="AI75" s="9"/>
      <c r="AJ75" s="9"/>
      <c r="AK75" s="9"/>
      <c r="AL75" s="9"/>
      <c r="AM75" s="9"/>
      <c r="AN75" s="9"/>
      <c r="AO75" s="9"/>
      <c r="AP75" s="9"/>
      <c r="AQ75" s="9"/>
      <c r="AR75" s="9"/>
    </row>
    <row r="76" spans="1:44" x14ac:dyDescent="0.25">
      <c r="A76" s="129" t="s">
        <v>108</v>
      </c>
      <c r="B76" s="129" t="s">
        <v>118</v>
      </c>
      <c r="C76" s="129" t="s">
        <v>194</v>
      </c>
      <c r="D76" s="129" t="s">
        <v>99</v>
      </c>
      <c r="E76" s="129" t="s">
        <v>133</v>
      </c>
      <c r="F76" s="129" t="s">
        <v>108</v>
      </c>
      <c r="G76" s="129" t="s">
        <v>195</v>
      </c>
      <c r="H76" s="129" t="s">
        <v>196</v>
      </c>
      <c r="I76" s="129">
        <v>105353</v>
      </c>
      <c r="J76" s="129"/>
      <c r="K76" s="129"/>
      <c r="L76" s="129"/>
      <c r="M76" s="129">
        <v>105353</v>
      </c>
      <c r="N76" s="129"/>
      <c r="O76" s="129"/>
      <c r="P76" s="129"/>
      <c r="Q76" s="129"/>
      <c r="R76" s="129"/>
      <c r="S76" s="129"/>
      <c r="T76" s="129"/>
      <c r="U76" s="138"/>
      <c r="AB76" s="9"/>
      <c r="AC76" s="9"/>
      <c r="AD76" s="9"/>
      <c r="AE76" s="9"/>
      <c r="AF76" s="9"/>
      <c r="AG76" s="9"/>
      <c r="AH76" s="9"/>
      <c r="AI76" s="9"/>
      <c r="AJ76" s="9"/>
      <c r="AK76" s="9"/>
      <c r="AL76" s="9"/>
      <c r="AM76" s="9"/>
      <c r="AN76" s="9"/>
      <c r="AO76" s="9"/>
      <c r="AP76" s="9"/>
      <c r="AQ76" s="9"/>
      <c r="AR76" s="9"/>
    </row>
    <row r="77" spans="1:44" x14ac:dyDescent="0.25">
      <c r="A77" s="129" t="s">
        <v>108</v>
      </c>
      <c r="B77" s="129" t="s">
        <v>118</v>
      </c>
      <c r="C77" s="129" t="s">
        <v>199</v>
      </c>
      <c r="D77" s="129" t="s">
        <v>99</v>
      </c>
      <c r="E77" s="129" t="s">
        <v>133</v>
      </c>
      <c r="F77" s="129" t="s">
        <v>108</v>
      </c>
      <c r="G77" s="129" t="s">
        <v>195</v>
      </c>
      <c r="H77" s="129" t="s">
        <v>196</v>
      </c>
      <c r="I77" s="129">
        <v>97311</v>
      </c>
      <c r="J77" s="129"/>
      <c r="K77" s="129"/>
      <c r="L77" s="129"/>
      <c r="M77" s="129">
        <v>97311</v>
      </c>
      <c r="N77" s="129"/>
      <c r="O77" s="129"/>
      <c r="P77" s="129"/>
      <c r="Q77" s="129"/>
      <c r="R77" s="129"/>
      <c r="S77" s="129"/>
      <c r="T77" s="129"/>
      <c r="U77" s="138"/>
      <c r="AF77" s="9"/>
      <c r="AG77" s="9"/>
      <c r="AH77" s="9"/>
      <c r="AI77" s="9"/>
      <c r="AJ77" s="9"/>
      <c r="AK77" s="9"/>
      <c r="AL77" s="9"/>
      <c r="AM77" s="9"/>
      <c r="AN77" s="9"/>
      <c r="AO77" s="9"/>
      <c r="AP77" s="9"/>
      <c r="AQ77" s="9"/>
      <c r="AR77" s="9"/>
    </row>
    <row r="78" spans="1:44" x14ac:dyDescent="0.25">
      <c r="A78" s="131" t="s">
        <v>108</v>
      </c>
      <c r="B78" s="131" t="s">
        <v>118</v>
      </c>
      <c r="C78" s="131" t="s">
        <v>200</v>
      </c>
      <c r="D78" s="131" t="s">
        <v>99</v>
      </c>
      <c r="E78" s="131" t="s">
        <v>133</v>
      </c>
      <c r="F78" s="131" t="s">
        <v>108</v>
      </c>
      <c r="G78" s="131" t="s">
        <v>178</v>
      </c>
      <c r="H78" s="131" t="s">
        <v>201</v>
      </c>
      <c r="I78" s="131">
        <v>125541</v>
      </c>
      <c r="J78" s="131"/>
      <c r="K78" s="131"/>
      <c r="L78" s="131">
        <v>125541</v>
      </c>
      <c r="M78" s="131"/>
      <c r="N78" s="131"/>
      <c r="O78" s="131"/>
      <c r="P78" s="131"/>
      <c r="Q78" s="131"/>
      <c r="R78" s="131"/>
      <c r="S78" s="131"/>
      <c r="T78" s="131"/>
      <c r="U78" s="138"/>
      <c r="AL78" s="9"/>
      <c r="AM78" s="9"/>
      <c r="AN78" s="9"/>
      <c r="AO78" s="9"/>
      <c r="AP78" s="9"/>
      <c r="AQ78" s="9"/>
      <c r="AR78" s="9"/>
    </row>
    <row r="79" spans="1:44" x14ac:dyDescent="0.25">
      <c r="A79" s="147" t="s">
        <v>108</v>
      </c>
      <c r="B79" s="147" t="s">
        <v>118</v>
      </c>
      <c r="C79" s="147" t="s">
        <v>210</v>
      </c>
      <c r="D79" s="147" t="s">
        <v>99</v>
      </c>
      <c r="E79" s="147" t="s">
        <v>133</v>
      </c>
      <c r="F79" s="147" t="s">
        <v>108</v>
      </c>
      <c r="G79" s="147" t="s">
        <v>198</v>
      </c>
      <c r="H79" s="147" t="s">
        <v>201</v>
      </c>
      <c r="I79" s="147">
        <v>252000</v>
      </c>
      <c r="J79" s="147"/>
      <c r="K79" s="147"/>
      <c r="L79" s="147">
        <v>252000</v>
      </c>
      <c r="M79" s="147"/>
      <c r="N79" s="147"/>
      <c r="O79" s="147"/>
      <c r="P79" s="147"/>
      <c r="Q79" s="147"/>
      <c r="R79" s="147"/>
      <c r="S79" s="147"/>
      <c r="T79" s="147"/>
      <c r="U79" s="147"/>
    </row>
    <row r="80" spans="1:44" x14ac:dyDescent="0.25">
      <c r="A80" s="147" t="s">
        <v>108</v>
      </c>
      <c r="B80" s="147" t="s">
        <v>118</v>
      </c>
      <c r="C80" s="147" t="s">
        <v>186</v>
      </c>
      <c r="D80" s="147" t="s">
        <v>99</v>
      </c>
      <c r="E80" s="147" t="s">
        <v>133</v>
      </c>
      <c r="F80" s="147" t="s">
        <v>108</v>
      </c>
      <c r="G80" s="147" t="s">
        <v>187</v>
      </c>
      <c r="H80" s="147" t="s">
        <v>188</v>
      </c>
      <c r="I80" s="147">
        <v>357078.19</v>
      </c>
      <c r="J80" s="147"/>
      <c r="K80" s="147"/>
      <c r="L80" s="147"/>
      <c r="M80" s="147"/>
      <c r="N80" s="147"/>
      <c r="O80" s="147"/>
      <c r="P80" s="147"/>
      <c r="Q80" s="147">
        <v>357078.19</v>
      </c>
      <c r="R80" s="147"/>
      <c r="S80" s="147"/>
      <c r="T80" s="147"/>
      <c r="U80" s="147"/>
    </row>
    <row r="81" spans="1:21" x14ac:dyDescent="0.25">
      <c r="A81" s="147" t="s">
        <v>108</v>
      </c>
      <c r="B81" s="147" t="s">
        <v>114</v>
      </c>
      <c r="C81" s="147" t="s">
        <v>200</v>
      </c>
      <c r="D81" s="147" t="s">
        <v>133</v>
      </c>
      <c r="E81" s="147" t="s">
        <v>99</v>
      </c>
      <c r="F81" s="147" t="s">
        <v>108</v>
      </c>
      <c r="G81" s="147" t="s">
        <v>178</v>
      </c>
      <c r="H81" s="147" t="s">
        <v>202</v>
      </c>
      <c r="I81" s="147">
        <v>-139490</v>
      </c>
      <c r="J81" s="147"/>
      <c r="K81" s="147"/>
      <c r="L81" s="147"/>
      <c r="M81" s="147"/>
      <c r="N81" s="147"/>
      <c r="O81" s="147"/>
      <c r="P81" s="147"/>
      <c r="Q81" s="147">
        <v>-139490</v>
      </c>
      <c r="R81" s="147"/>
      <c r="S81" s="147"/>
      <c r="T81" s="147"/>
      <c r="U81" s="147"/>
    </row>
    <row r="82" spans="1:21" x14ac:dyDescent="0.25">
      <c r="A82" s="147" t="s">
        <v>108</v>
      </c>
      <c r="B82" s="147" t="s">
        <v>114</v>
      </c>
      <c r="C82" s="147" t="s">
        <v>210</v>
      </c>
      <c r="D82" s="147" t="s">
        <v>133</v>
      </c>
      <c r="E82" s="147" t="s">
        <v>99</v>
      </c>
      <c r="F82" s="147" t="s">
        <v>108</v>
      </c>
      <c r="G82" s="147" t="s">
        <v>198</v>
      </c>
      <c r="H82" s="147" t="s">
        <v>202</v>
      </c>
      <c r="I82" s="147">
        <v>-280000</v>
      </c>
      <c r="J82" s="147"/>
      <c r="K82" s="147"/>
      <c r="L82" s="147"/>
      <c r="M82" s="147"/>
      <c r="N82" s="147"/>
      <c r="O82" s="147"/>
      <c r="P82" s="147"/>
      <c r="Q82" s="147">
        <v>-280000</v>
      </c>
      <c r="R82" s="147"/>
      <c r="S82" s="147"/>
      <c r="T82" s="147"/>
      <c r="U82" s="147"/>
    </row>
    <row r="83" spans="1:21" x14ac:dyDescent="0.25">
      <c r="A83" s="25" t="s">
        <v>108</v>
      </c>
      <c r="B83" s="25" t="s">
        <v>114</v>
      </c>
      <c r="C83" s="25" t="s">
        <v>167</v>
      </c>
      <c r="D83" s="25" t="s">
        <v>133</v>
      </c>
      <c r="E83" s="25" t="s">
        <v>99</v>
      </c>
      <c r="F83" s="25" t="s">
        <v>108</v>
      </c>
      <c r="G83" s="25" t="s">
        <v>168</v>
      </c>
      <c r="H83" s="25" t="s">
        <v>166</v>
      </c>
      <c r="I83" s="25">
        <v>-492513</v>
      </c>
      <c r="M83" s="25">
        <v>-492513</v>
      </c>
    </row>
    <row r="84" spans="1:21" x14ac:dyDescent="0.25">
      <c r="A84" s="25" t="s">
        <v>108</v>
      </c>
      <c r="B84" s="25" t="s">
        <v>114</v>
      </c>
      <c r="C84" s="25" t="s">
        <v>211</v>
      </c>
      <c r="D84" s="25" t="s">
        <v>133</v>
      </c>
      <c r="E84" s="25" t="s">
        <v>99</v>
      </c>
      <c r="F84" s="25" t="s">
        <v>108</v>
      </c>
      <c r="G84" s="25" t="s">
        <v>212</v>
      </c>
      <c r="H84" s="25" t="s">
        <v>166</v>
      </c>
      <c r="I84" s="25">
        <v>-110154.04</v>
      </c>
      <c r="M84" s="25">
        <v>-110154.04</v>
      </c>
    </row>
    <row r="85" spans="1:21" x14ac:dyDescent="0.25">
      <c r="A85" s="25" t="s">
        <v>213</v>
      </c>
      <c r="B85" s="25" t="s">
        <v>118</v>
      </c>
      <c r="C85" s="25" t="s">
        <v>236</v>
      </c>
      <c r="D85" s="25" t="s">
        <v>99</v>
      </c>
      <c r="E85" s="25" t="s">
        <v>133</v>
      </c>
      <c r="F85" s="25" t="s">
        <v>213</v>
      </c>
      <c r="G85" s="25" t="s">
        <v>227</v>
      </c>
      <c r="H85" s="25" t="s">
        <v>201</v>
      </c>
      <c r="I85" s="25">
        <v>351929</v>
      </c>
      <c r="L85" s="25">
        <v>351929</v>
      </c>
    </row>
    <row r="86" spans="1:21" x14ac:dyDescent="0.25">
      <c r="A86" s="25" t="s">
        <v>213</v>
      </c>
      <c r="B86" s="25" t="s">
        <v>118</v>
      </c>
      <c r="C86" s="25" t="s">
        <v>211</v>
      </c>
      <c r="D86" s="25" t="s">
        <v>99</v>
      </c>
      <c r="E86" s="25" t="s">
        <v>133</v>
      </c>
      <c r="F86" s="25" t="s">
        <v>213</v>
      </c>
      <c r="G86" s="25" t="s">
        <v>212</v>
      </c>
      <c r="H86" s="25" t="s">
        <v>214</v>
      </c>
      <c r="I86" s="25">
        <v>110154.04</v>
      </c>
      <c r="R86" s="25">
        <v>110154.04</v>
      </c>
    </row>
    <row r="87" spans="1:21" x14ac:dyDescent="0.25">
      <c r="A87" s="159" t="s">
        <v>213</v>
      </c>
      <c r="B87" s="159" t="s">
        <v>114</v>
      </c>
      <c r="C87" s="159" t="s">
        <v>236</v>
      </c>
      <c r="D87" s="159" t="s">
        <v>133</v>
      </c>
      <c r="E87" s="159" t="s">
        <v>99</v>
      </c>
      <c r="F87" s="159" t="s">
        <v>213</v>
      </c>
      <c r="G87" s="159" t="s">
        <v>227</v>
      </c>
      <c r="H87" s="159" t="s">
        <v>202</v>
      </c>
      <c r="I87" s="159">
        <v>-391032</v>
      </c>
      <c r="J87" s="159"/>
      <c r="K87" s="159"/>
      <c r="L87" s="159"/>
      <c r="M87" s="159"/>
      <c r="N87" s="159"/>
      <c r="O87" s="159"/>
      <c r="P87" s="159"/>
      <c r="Q87" s="159">
        <v>-391032</v>
      </c>
      <c r="R87" s="159"/>
      <c r="S87" s="159"/>
      <c r="T87" s="159"/>
      <c r="U87" s="159"/>
    </row>
    <row r="88" spans="1:21" x14ac:dyDescent="0.25">
      <c r="A88" s="159" t="s">
        <v>213</v>
      </c>
      <c r="B88" s="159" t="s">
        <v>114</v>
      </c>
      <c r="C88" s="159" t="s">
        <v>239</v>
      </c>
      <c r="D88" s="159" t="s">
        <v>240</v>
      </c>
      <c r="E88" s="159" t="s">
        <v>99</v>
      </c>
      <c r="F88" s="159" t="s">
        <v>213</v>
      </c>
      <c r="G88" s="159" t="s">
        <v>241</v>
      </c>
      <c r="H88" s="159" t="s">
        <v>242</v>
      </c>
      <c r="I88" s="159">
        <v>-293380</v>
      </c>
      <c r="J88" s="159"/>
      <c r="K88" s="159"/>
      <c r="L88" s="159"/>
      <c r="M88" s="159"/>
      <c r="N88" s="159"/>
      <c r="O88" s="159"/>
      <c r="P88" s="159"/>
      <c r="Q88" s="159">
        <v>-293380</v>
      </c>
      <c r="R88" s="159"/>
      <c r="S88" s="159"/>
      <c r="T88" s="159"/>
      <c r="U88" s="159"/>
    </row>
    <row r="89" spans="1:21" x14ac:dyDescent="0.25">
      <c r="A89" s="159" t="s">
        <v>169</v>
      </c>
      <c r="B89" s="159" t="s">
        <v>97</v>
      </c>
      <c r="C89" s="159" t="s">
        <v>243</v>
      </c>
      <c r="D89" s="159" t="s">
        <v>133</v>
      </c>
      <c r="E89" s="159" t="s">
        <v>99</v>
      </c>
      <c r="F89" s="159" t="s">
        <v>244</v>
      </c>
      <c r="G89" s="159" t="s">
        <v>245</v>
      </c>
      <c r="H89" s="159" t="s">
        <v>246</v>
      </c>
      <c r="I89" s="159">
        <v>-287000</v>
      </c>
      <c r="J89" s="159"/>
      <c r="K89" s="159"/>
      <c r="L89" s="159"/>
      <c r="M89" s="159"/>
      <c r="N89" s="159"/>
      <c r="O89" s="159"/>
      <c r="P89" s="159"/>
      <c r="Q89" s="159">
        <v>-287000</v>
      </c>
      <c r="R89" s="159"/>
      <c r="S89" s="159"/>
      <c r="T89" s="159"/>
      <c r="U89" s="159"/>
    </row>
    <row r="90" spans="1:21" x14ac:dyDescent="0.25">
      <c r="A90" s="159" t="s">
        <v>169</v>
      </c>
      <c r="B90" s="159" t="s">
        <v>98</v>
      </c>
      <c r="C90" s="159" t="s">
        <v>157</v>
      </c>
      <c r="D90" s="159" t="s">
        <v>119</v>
      </c>
      <c r="E90" s="159" t="s">
        <v>133</v>
      </c>
      <c r="F90" s="159" t="s">
        <v>169</v>
      </c>
      <c r="G90" s="159"/>
      <c r="H90" s="159" t="s">
        <v>151</v>
      </c>
      <c r="I90" s="159">
        <v>171124</v>
      </c>
      <c r="J90" s="159"/>
      <c r="K90" s="159"/>
      <c r="L90" s="159"/>
      <c r="M90" s="159"/>
      <c r="N90" s="159"/>
      <c r="O90" s="159"/>
      <c r="P90" s="159"/>
      <c r="Q90" s="159"/>
      <c r="R90" s="159">
        <v>171124</v>
      </c>
      <c r="S90" s="159"/>
      <c r="T90" s="159"/>
      <c r="U90" s="159"/>
    </row>
    <row r="91" spans="1:21" x14ac:dyDescent="0.25">
      <c r="A91" s="159" t="s">
        <v>244</v>
      </c>
      <c r="B91" s="159" t="s">
        <v>98</v>
      </c>
      <c r="C91" s="159" t="s">
        <v>243</v>
      </c>
      <c r="D91" s="159" t="s">
        <v>99</v>
      </c>
      <c r="E91" s="159" t="s">
        <v>133</v>
      </c>
      <c r="F91" s="159" t="s">
        <v>244</v>
      </c>
      <c r="G91" s="159" t="s">
        <v>245</v>
      </c>
      <c r="H91" s="159" t="s">
        <v>246</v>
      </c>
      <c r="I91" s="159">
        <v>287000</v>
      </c>
      <c r="J91" s="159"/>
      <c r="K91" s="159"/>
      <c r="L91" s="159"/>
      <c r="M91" s="159"/>
      <c r="N91" s="159"/>
      <c r="O91" s="159"/>
      <c r="P91" s="159"/>
      <c r="Q91" s="159">
        <v>287000</v>
      </c>
      <c r="R91" s="159"/>
      <c r="S91" s="159"/>
      <c r="T91" s="159"/>
      <c r="U91" s="159"/>
    </row>
  </sheetData>
  <mergeCells count="5">
    <mergeCell ref="A1:F1"/>
    <mergeCell ref="A3:F3"/>
    <mergeCell ref="A9:G9"/>
    <mergeCell ref="A51:G51"/>
    <mergeCell ref="A7:H7"/>
  </mergeCells>
  <pageMargins left="0.7" right="0.7" top="0.75" bottom="0.75" header="0.3" footer="0.3"/>
  <pageSetup paperSize="17" scale="76" orientation="landscape" r:id="rId1"/>
  <tableParts count="2">
    <tablePart r:id="rId2"/>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E54"/>
  <sheetViews>
    <sheetView zoomScaleNormal="100" workbookViewId="0"/>
  </sheetViews>
  <sheetFormatPr defaultRowHeight="15" x14ac:dyDescent="0.25"/>
  <cols>
    <col min="1" max="1" width="9.140625" style="1"/>
    <col min="2" max="2" width="20.7109375" customWidth="1"/>
    <col min="3" max="3" width="37.42578125" customWidth="1"/>
    <col min="4" max="4" width="15.7109375" customWidth="1"/>
    <col min="5" max="5" width="18.28515625" customWidth="1"/>
  </cols>
  <sheetData>
    <row r="1" spans="1:5" ht="14.45" x14ac:dyDescent="0.35">
      <c r="A1" s="4" t="s">
        <v>13</v>
      </c>
      <c r="B1" s="180" t="s">
        <v>14</v>
      </c>
      <c r="C1" s="180"/>
      <c r="D1" s="180"/>
      <c r="E1" s="180"/>
    </row>
    <row r="2" spans="1:5" ht="81.75" customHeight="1" x14ac:dyDescent="0.35">
      <c r="A2" s="1">
        <v>1</v>
      </c>
      <c r="B2" s="179" t="s">
        <v>16</v>
      </c>
      <c r="C2" s="179"/>
      <c r="D2" s="179"/>
      <c r="E2" s="179"/>
    </row>
    <row r="3" spans="1:5" ht="14.45" x14ac:dyDescent="0.35">
      <c r="B3" s="3"/>
      <c r="C3" s="3"/>
      <c r="D3" s="3"/>
      <c r="E3" s="3"/>
    </row>
    <row r="4" spans="1:5" ht="33" customHeight="1" x14ac:dyDescent="0.35">
      <c r="A4" s="1">
        <v>2</v>
      </c>
      <c r="B4" s="179" t="s">
        <v>17</v>
      </c>
      <c r="C4" s="179"/>
      <c r="D4" s="179"/>
      <c r="E4" s="179"/>
    </row>
    <row r="5" spans="1:5" ht="14.45" x14ac:dyDescent="0.35">
      <c r="B5" s="3"/>
      <c r="C5" s="3"/>
      <c r="D5" s="3"/>
      <c r="E5" s="3"/>
    </row>
    <row r="6" spans="1:5" s="17" customFormat="1" ht="114" customHeight="1" x14ac:dyDescent="0.35">
      <c r="A6" s="18">
        <v>3</v>
      </c>
      <c r="B6" s="184" t="s">
        <v>66</v>
      </c>
      <c r="C6" s="184"/>
      <c r="D6" s="184"/>
      <c r="E6" s="184"/>
    </row>
    <row r="7" spans="1:5" s="17" customFormat="1" ht="14.45" x14ac:dyDescent="0.3">
      <c r="A7" s="18"/>
      <c r="B7" s="19"/>
      <c r="C7" s="19"/>
      <c r="D7" s="19"/>
      <c r="E7" s="19"/>
    </row>
    <row r="8" spans="1:5" ht="18" customHeight="1" x14ac:dyDescent="0.3">
      <c r="A8" s="1">
        <v>4</v>
      </c>
      <c r="B8" s="183" t="s">
        <v>59</v>
      </c>
      <c r="C8" s="183"/>
      <c r="D8" s="8"/>
      <c r="E8" s="8"/>
    </row>
    <row r="9" spans="1:5" ht="18" customHeight="1" x14ac:dyDescent="0.3">
      <c r="B9" s="182" t="s">
        <v>122</v>
      </c>
      <c r="C9" s="182"/>
      <c r="D9" s="13">
        <v>125000</v>
      </c>
    </row>
    <row r="10" spans="1:5" ht="18" customHeight="1" x14ac:dyDescent="0.3">
      <c r="B10" s="179" t="s">
        <v>123</v>
      </c>
      <c r="C10" s="179"/>
      <c r="D10" s="12">
        <v>-31250</v>
      </c>
    </row>
    <row r="11" spans="1:5" ht="18" customHeight="1" x14ac:dyDescent="0.25">
      <c r="B11" s="182" t="s">
        <v>124</v>
      </c>
      <c r="C11" s="182"/>
      <c r="D11" s="14">
        <f>+D9+D10</f>
        <v>93750</v>
      </c>
    </row>
    <row r="12" spans="1:5" ht="31.5" customHeight="1" x14ac:dyDescent="0.25">
      <c r="B12" s="179" t="s">
        <v>121</v>
      </c>
      <c r="C12" s="179"/>
      <c r="D12" s="11">
        <v>31250</v>
      </c>
    </row>
    <row r="13" spans="1:5" ht="36.75" customHeight="1" x14ac:dyDescent="0.25">
      <c r="B13" s="182" t="s">
        <v>106</v>
      </c>
      <c r="C13" s="182"/>
      <c r="D13" s="15">
        <f>SUM(D11:D12)</f>
        <v>125000</v>
      </c>
    </row>
    <row r="14" spans="1:5" s="17" customFormat="1" ht="18" customHeight="1" x14ac:dyDescent="0.25">
      <c r="A14" s="18"/>
      <c r="B14" s="22"/>
      <c r="C14" s="22"/>
      <c r="D14" s="23"/>
    </row>
    <row r="15" spans="1:5" s="17" customFormat="1" ht="84.75" customHeight="1" x14ac:dyDescent="0.25">
      <c r="A15" s="1">
        <v>5</v>
      </c>
      <c r="B15" s="181" t="s">
        <v>60</v>
      </c>
      <c r="C15" s="181"/>
      <c r="D15" s="181"/>
      <c r="E15" s="181"/>
    </row>
    <row r="16" spans="1:5" x14ac:dyDescent="0.25">
      <c r="B16" s="3"/>
      <c r="C16" s="3"/>
      <c r="D16" s="3"/>
      <c r="E16" s="3"/>
    </row>
    <row r="17" spans="1:5" ht="14.45" customHeight="1" x14ac:dyDescent="0.25">
      <c r="A17" s="1">
        <v>6</v>
      </c>
      <c r="B17" s="179" t="s">
        <v>179</v>
      </c>
      <c r="C17" s="179"/>
      <c r="D17" s="179"/>
      <c r="E17" s="179"/>
    </row>
    <row r="18" spans="1:5" x14ac:dyDescent="0.25">
      <c r="B18" s="10"/>
      <c r="C18" s="10"/>
      <c r="D18" s="10"/>
      <c r="E18" s="10"/>
    </row>
    <row r="19" spans="1:5" ht="33" customHeight="1" x14ac:dyDescent="0.25">
      <c r="A19" s="1">
        <v>7</v>
      </c>
      <c r="B19" s="179" t="s">
        <v>38</v>
      </c>
      <c r="C19" s="179"/>
      <c r="D19" s="179"/>
      <c r="E19" s="179"/>
    </row>
    <row r="20" spans="1:5" ht="14.25" customHeight="1" x14ac:dyDescent="0.25">
      <c r="B20" s="7"/>
      <c r="C20" s="7"/>
      <c r="D20" s="7"/>
      <c r="E20" s="7"/>
    </row>
    <row r="21" spans="1:5" ht="47.25" customHeight="1" x14ac:dyDescent="0.25">
      <c r="A21" s="1">
        <v>8</v>
      </c>
      <c r="B21" s="179" t="s">
        <v>39</v>
      </c>
      <c r="C21" s="179"/>
      <c r="D21" s="179"/>
      <c r="E21" s="179"/>
    </row>
    <row r="22" spans="1:5" ht="15" customHeight="1" x14ac:dyDescent="0.25">
      <c r="B22" s="7"/>
      <c r="C22" s="7"/>
      <c r="D22" s="7"/>
      <c r="E22" s="7"/>
    </row>
    <row r="23" spans="1:5" ht="32.25" customHeight="1" x14ac:dyDescent="0.25">
      <c r="A23" s="1">
        <v>9</v>
      </c>
      <c r="B23" s="179" t="s">
        <v>37</v>
      </c>
      <c r="C23" s="179"/>
      <c r="D23" s="179"/>
      <c r="E23" s="179"/>
    </row>
    <row r="24" spans="1:5" ht="15" customHeight="1" x14ac:dyDescent="0.25">
      <c r="B24" s="7"/>
      <c r="C24" s="7"/>
      <c r="D24" s="7"/>
      <c r="E24" s="7"/>
    </row>
    <row r="25" spans="1:5" ht="33" customHeight="1" x14ac:dyDescent="0.25">
      <c r="A25" s="1">
        <v>10</v>
      </c>
      <c r="B25" s="179" t="s">
        <v>40</v>
      </c>
      <c r="C25" s="179"/>
      <c r="D25" s="179"/>
      <c r="E25" s="179"/>
    </row>
    <row r="26" spans="1:5" x14ac:dyDescent="0.25">
      <c r="B26" s="3"/>
      <c r="C26" s="3"/>
      <c r="D26" s="3"/>
      <c r="E26" s="3"/>
    </row>
    <row r="27" spans="1:5" ht="30" customHeight="1" x14ac:dyDescent="0.25">
      <c r="A27" s="1">
        <v>11</v>
      </c>
      <c r="B27" s="179" t="s">
        <v>41</v>
      </c>
      <c r="C27" s="179"/>
      <c r="D27" s="179"/>
      <c r="E27" s="179"/>
    </row>
    <row r="28" spans="1:5" x14ac:dyDescent="0.25">
      <c r="B28" s="3"/>
      <c r="C28" s="3"/>
      <c r="D28" s="3"/>
      <c r="E28" s="3"/>
    </row>
    <row r="29" spans="1:5" ht="31.5" customHeight="1" x14ac:dyDescent="0.25">
      <c r="A29" s="1">
        <v>12</v>
      </c>
      <c r="B29" s="179" t="s">
        <v>42</v>
      </c>
      <c r="C29" s="179"/>
      <c r="D29" s="179"/>
      <c r="E29" s="179"/>
    </row>
    <row r="30" spans="1:5" x14ac:dyDescent="0.25">
      <c r="B30" s="7"/>
      <c r="C30" s="7"/>
      <c r="D30" s="7"/>
      <c r="E30" s="7"/>
    </row>
    <row r="31" spans="1:5" ht="34.5" customHeight="1" x14ac:dyDescent="0.25">
      <c r="A31" s="1">
        <v>13</v>
      </c>
      <c r="B31" s="179" t="s">
        <v>18</v>
      </c>
      <c r="C31" s="179"/>
      <c r="D31" s="179"/>
      <c r="E31" s="179"/>
    </row>
    <row r="32" spans="1:5" ht="16.5" customHeight="1" x14ac:dyDescent="0.25">
      <c r="B32" s="3"/>
      <c r="C32" s="3"/>
      <c r="D32" s="3"/>
      <c r="E32" s="3"/>
    </row>
    <row r="33" spans="1:5" ht="64.5" customHeight="1" x14ac:dyDescent="0.25">
      <c r="A33" s="1">
        <v>14</v>
      </c>
      <c r="B33" s="179" t="s">
        <v>19</v>
      </c>
      <c r="C33" s="179"/>
      <c r="D33" s="179"/>
      <c r="E33" s="179"/>
    </row>
    <row r="34" spans="1:5" ht="14.25" customHeight="1" x14ac:dyDescent="0.25">
      <c r="B34" s="3"/>
      <c r="C34" s="3"/>
      <c r="D34" s="3"/>
      <c r="E34" s="3"/>
    </row>
    <row r="35" spans="1:5" x14ac:dyDescent="0.25">
      <c r="A35" s="1">
        <v>15</v>
      </c>
      <c r="B35" s="183" t="s">
        <v>34</v>
      </c>
      <c r="C35" s="183"/>
      <c r="D35" s="183"/>
      <c r="E35" s="183"/>
    </row>
    <row r="36" spans="1:5" x14ac:dyDescent="0.25">
      <c r="B36" s="16" t="s">
        <v>7</v>
      </c>
      <c r="C36" s="177" t="s">
        <v>20</v>
      </c>
      <c r="D36" s="177"/>
      <c r="E36" s="177"/>
    </row>
    <row r="37" spans="1:5" x14ac:dyDescent="0.25">
      <c r="B37" s="5" t="s">
        <v>21</v>
      </c>
      <c r="C37" s="178" t="s">
        <v>28</v>
      </c>
      <c r="D37" s="178"/>
      <c r="E37" s="178"/>
    </row>
    <row r="38" spans="1:5" x14ac:dyDescent="0.25">
      <c r="B38" s="16" t="s">
        <v>22</v>
      </c>
      <c r="C38" s="177" t="s">
        <v>29</v>
      </c>
      <c r="D38" s="177"/>
      <c r="E38" s="177"/>
    </row>
    <row r="39" spans="1:5" x14ac:dyDescent="0.25">
      <c r="B39" s="5" t="s">
        <v>23</v>
      </c>
      <c r="C39" s="178" t="s">
        <v>32</v>
      </c>
      <c r="D39" s="178"/>
      <c r="E39" s="178"/>
    </row>
    <row r="40" spans="1:5" x14ac:dyDescent="0.25">
      <c r="B40" s="16" t="s">
        <v>9</v>
      </c>
      <c r="C40" s="177" t="s">
        <v>30</v>
      </c>
      <c r="D40" s="177"/>
      <c r="E40" s="177"/>
    </row>
    <row r="41" spans="1:5" x14ac:dyDescent="0.25">
      <c r="B41" s="5" t="s">
        <v>8</v>
      </c>
      <c r="C41" s="178" t="s">
        <v>24</v>
      </c>
      <c r="D41" s="178"/>
      <c r="E41" s="178"/>
    </row>
    <row r="42" spans="1:5" x14ac:dyDescent="0.25">
      <c r="B42" s="16" t="s">
        <v>25</v>
      </c>
      <c r="C42" s="177" t="s">
        <v>26</v>
      </c>
      <c r="D42" s="177"/>
      <c r="E42" s="177"/>
    </row>
    <row r="43" spans="1:5" x14ac:dyDescent="0.25">
      <c r="B43" s="5" t="s">
        <v>27</v>
      </c>
      <c r="C43" s="178" t="s">
        <v>31</v>
      </c>
      <c r="D43" s="178"/>
      <c r="E43" s="178"/>
    </row>
    <row r="44" spans="1:5" s="17" customFormat="1" x14ac:dyDescent="0.25">
      <c r="A44" s="18"/>
      <c r="B44" s="20"/>
      <c r="C44" s="21"/>
      <c r="D44" s="21"/>
      <c r="E44" s="21"/>
    </row>
    <row r="45" spans="1:5" s="17" customFormat="1" x14ac:dyDescent="0.25">
      <c r="A45" s="18">
        <v>16</v>
      </c>
      <c r="B45" s="24" t="s">
        <v>67</v>
      </c>
      <c r="C45" s="21"/>
      <c r="D45" s="21"/>
      <c r="E45" s="21"/>
    </row>
    <row r="46" spans="1:5" s="17" customFormat="1" ht="30" customHeight="1" x14ac:dyDescent="0.25">
      <c r="A46" s="18"/>
      <c r="B46" s="16" t="s">
        <v>51</v>
      </c>
      <c r="C46" s="177" t="s">
        <v>69</v>
      </c>
      <c r="D46" s="177"/>
      <c r="E46" s="177"/>
    </row>
    <row r="47" spans="1:5" s="17" customFormat="1" x14ac:dyDescent="0.25">
      <c r="A47" s="18"/>
      <c r="B47" s="20" t="s">
        <v>52</v>
      </c>
      <c r="C47" s="178" t="s">
        <v>68</v>
      </c>
      <c r="D47" s="178"/>
      <c r="E47" s="178"/>
    </row>
    <row r="48" spans="1:5" s="17" customFormat="1" ht="48.75" customHeight="1" x14ac:dyDescent="0.25">
      <c r="A48" s="18"/>
      <c r="B48" s="16" t="s">
        <v>53</v>
      </c>
      <c r="C48" s="177" t="s">
        <v>71</v>
      </c>
      <c r="D48" s="177"/>
      <c r="E48" s="177"/>
    </row>
    <row r="49" spans="1:5" s="17" customFormat="1" ht="29.25" customHeight="1" x14ac:dyDescent="0.25">
      <c r="A49" s="18"/>
      <c r="B49" s="20" t="s">
        <v>54</v>
      </c>
      <c r="C49" s="178" t="s">
        <v>70</v>
      </c>
      <c r="D49" s="178"/>
      <c r="E49" s="178"/>
    </row>
    <row r="50" spans="1:5" x14ac:dyDescent="0.25">
      <c r="B50" s="5"/>
      <c r="C50" s="6"/>
      <c r="D50" s="6"/>
      <c r="E50" s="6"/>
    </row>
    <row r="51" spans="1:5" ht="94.5" customHeight="1" x14ac:dyDescent="0.25">
      <c r="A51" s="1">
        <v>17</v>
      </c>
      <c r="B51" s="186" t="s">
        <v>33</v>
      </c>
      <c r="C51" s="186"/>
      <c r="D51" s="186"/>
      <c r="E51" s="186"/>
    </row>
    <row r="53" spans="1:5" x14ac:dyDescent="0.25">
      <c r="B53" s="2"/>
    </row>
    <row r="54" spans="1:5" x14ac:dyDescent="0.25">
      <c r="A54" s="185" t="s">
        <v>35</v>
      </c>
      <c r="B54" s="185"/>
      <c r="C54" s="185"/>
      <c r="D54" s="185"/>
      <c r="E54" s="185"/>
    </row>
  </sheetData>
  <mergeCells count="35">
    <mergeCell ref="B25:E25"/>
    <mergeCell ref="B27:E27"/>
    <mergeCell ref="B17:E17"/>
    <mergeCell ref="B6:E6"/>
    <mergeCell ref="A54:E54"/>
    <mergeCell ref="B19:E19"/>
    <mergeCell ref="B51:E51"/>
    <mergeCell ref="B35:E35"/>
    <mergeCell ref="C36:E36"/>
    <mergeCell ref="C37:E37"/>
    <mergeCell ref="C38:E38"/>
    <mergeCell ref="C39:E39"/>
    <mergeCell ref="C40:E40"/>
    <mergeCell ref="C41:E41"/>
    <mergeCell ref="C42:E42"/>
    <mergeCell ref="C43:E43"/>
    <mergeCell ref="B21:E21"/>
    <mergeCell ref="B23:E23"/>
    <mergeCell ref="B1:E1"/>
    <mergeCell ref="B2:E2"/>
    <mergeCell ref="B4:E4"/>
    <mergeCell ref="B15:E15"/>
    <mergeCell ref="B10:C10"/>
    <mergeCell ref="B11:C11"/>
    <mergeCell ref="B13:C13"/>
    <mergeCell ref="B12:C12"/>
    <mergeCell ref="B8:C8"/>
    <mergeCell ref="B9:C9"/>
    <mergeCell ref="C46:E46"/>
    <mergeCell ref="C47:E47"/>
    <mergeCell ref="C49:E49"/>
    <mergeCell ref="C48:E48"/>
    <mergeCell ref="B29:E29"/>
    <mergeCell ref="B31:E31"/>
    <mergeCell ref="B33:E33"/>
  </mergeCells>
  <pageMargins left="0.25" right="0.25" top="0.75" bottom="0.75" header="0.3" footer="0.3"/>
  <pageSetup orientation="portrait" horizontalDpi="1200" verticalDpi="1200" r:id="rId1"/>
  <headerFooter>
    <oddHeader>&amp;L&amp;"-,Bold"&amp;12Federal Funds Ledger Notes&amp;RPrinted &amp;D</oddHeader>
    <oddFooter>&amp;L&amp;8&amp;Z&amp;F&amp;C&amp;P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Federal Funds Transactions</vt:lpstr>
      <vt:lpstr>Regional Loans and Transfers</vt:lpstr>
      <vt:lpstr>Notes</vt:lpstr>
      <vt:lpstr>'Federal Funds Transactions'!Print_Area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Lisa</dc:creator>
  <cp:lastModifiedBy>Maria Coronado</cp:lastModifiedBy>
  <cp:lastPrinted>2014-07-03T17:00:58Z</cp:lastPrinted>
  <dcterms:created xsi:type="dcterms:W3CDTF">2013-05-11T20:19:37Z</dcterms:created>
  <dcterms:modified xsi:type="dcterms:W3CDTF">2019-01-09T19:51:15Z</dcterms:modified>
</cp:coreProperties>
</file>