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30" windowWidth="23070" windowHeight="549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Transactions'!$A$1:$W$56</definedName>
    <definedName name="Query_from_MS_Access_Database" localSheetId="0" hidden="1">'Federal Funds Transactions'!$A$16:$Y$19</definedName>
    <definedName name="Query_from_MS_Access_Database" localSheetId="1" hidden="1">'Regional Loans and Transfers'!$A$11:$V$25</definedName>
    <definedName name="Query_from_MS_Access_Database_1" localSheetId="0" hidden="1">'Federal Funds Transactions'!$A$24:$Y$39</definedName>
    <definedName name="Query_from_MS_Access_Database_1" localSheetId="1" hidden="1">'Regional Loans and Transfers'!$A$28:$U$41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A27" i="1" l="1"/>
  <c r="AA28" i="1" s="1"/>
  <c r="AA29" i="1" s="1"/>
  <c r="AA30" i="1" s="1"/>
  <c r="AA31" i="1" s="1"/>
  <c r="AA32" i="1" s="1"/>
  <c r="AA33" i="1" s="1"/>
  <c r="AA34" i="1" s="1"/>
  <c r="AA35" i="1" s="1"/>
  <c r="AA36" i="1" s="1"/>
  <c r="AA37" i="1" s="1"/>
  <c r="AA38" i="1" s="1"/>
  <c r="AA39" i="1" s="1"/>
  <c r="I17" i="1"/>
  <c r="I18" i="1"/>
  <c r="I19" i="1"/>
  <c r="Z17" i="1"/>
  <c r="AA17" i="1" s="1"/>
  <c r="AA18" i="1" s="1"/>
  <c r="Z18" i="1"/>
  <c r="Z19" i="1"/>
  <c r="AA19" i="1" s="1"/>
  <c r="I25" i="1"/>
  <c r="I26" i="1"/>
  <c r="I27" i="1"/>
  <c r="I28" i="1"/>
  <c r="I29" i="1"/>
  <c r="I30" i="1"/>
  <c r="I31" i="1"/>
  <c r="I32" i="1"/>
  <c r="I33" i="1"/>
  <c r="I34" i="1"/>
  <c r="I35" i="1"/>
  <c r="I36" i="1"/>
  <c r="I37" i="1"/>
  <c r="I38" i="1"/>
  <c r="I39" i="1"/>
  <c r="Z25" i="1"/>
  <c r="AA25" i="1" s="1"/>
  <c r="Z26" i="1"/>
  <c r="Z27" i="1"/>
  <c r="Z28" i="1"/>
  <c r="Z29" i="1"/>
  <c r="Z30" i="1"/>
  <c r="Z31" i="1"/>
  <c r="Z32" i="1"/>
  <c r="Z33" i="1"/>
  <c r="Z34" i="1"/>
  <c r="Z35" i="1"/>
  <c r="Z36" i="1"/>
  <c r="Z37" i="1"/>
  <c r="Z38" i="1"/>
  <c r="Z39" i="1"/>
  <c r="AA26" i="1" l="1"/>
  <c r="X4" i="1"/>
  <c r="T4" i="1"/>
  <c r="Z5" i="1"/>
  <c r="AA5" i="1" s="1"/>
  <c r="AA12" i="1"/>
  <c r="Y12" i="1"/>
  <c r="X12" i="1"/>
  <c r="W12" i="1"/>
  <c r="V12" i="1"/>
  <c r="U12" i="1"/>
  <c r="T12" i="1"/>
  <c r="S12" i="1"/>
  <c r="R12" i="1"/>
  <c r="Q12" i="1"/>
  <c r="P12" i="1"/>
  <c r="O12" i="1"/>
  <c r="N12" i="1"/>
  <c r="AA11" i="1"/>
  <c r="Y11" i="1"/>
  <c r="X11" i="1"/>
  <c r="W11" i="1"/>
  <c r="V11" i="1"/>
  <c r="U11" i="1"/>
  <c r="T11" i="1"/>
  <c r="S11" i="1"/>
  <c r="R11" i="1"/>
  <c r="Q11" i="1"/>
  <c r="P11" i="1"/>
  <c r="O11" i="1"/>
  <c r="N11" i="1"/>
  <c r="AA10" i="1"/>
  <c r="Y10" i="1"/>
  <c r="X10" i="1"/>
  <c r="W10" i="1"/>
  <c r="V10" i="1"/>
  <c r="U10" i="1"/>
  <c r="T10" i="1"/>
  <c r="S10" i="1"/>
  <c r="R10" i="1"/>
  <c r="Q10" i="1"/>
  <c r="P10" i="1"/>
  <c r="O10" i="1"/>
  <c r="N10" i="1"/>
  <c r="AA9" i="1"/>
  <c r="Y9" i="1"/>
  <c r="X9" i="1"/>
  <c r="W9" i="1"/>
  <c r="V9" i="1"/>
  <c r="U9" i="1"/>
  <c r="T9" i="1"/>
  <c r="S9" i="1"/>
  <c r="R9" i="1"/>
  <c r="Q9" i="1"/>
  <c r="P9" i="1"/>
  <c r="O9" i="1"/>
  <c r="N9" i="1"/>
  <c r="AA8" i="1"/>
  <c r="Y8" i="1"/>
  <c r="X8" i="1"/>
  <c r="W8" i="1"/>
  <c r="V8" i="1"/>
  <c r="U8" i="1"/>
  <c r="T8" i="1"/>
  <c r="S8" i="1"/>
  <c r="R8" i="1"/>
  <c r="Q8" i="1"/>
  <c r="P8" i="1"/>
  <c r="O8" i="1"/>
  <c r="N8" i="1"/>
  <c r="AA7" i="1"/>
  <c r="Y7" i="1"/>
  <c r="X7" i="1"/>
  <c r="W7" i="1"/>
  <c r="V7" i="1"/>
  <c r="U7" i="1"/>
  <c r="T7" i="1"/>
  <c r="S7" i="1"/>
  <c r="R7" i="1"/>
  <c r="Q7" i="1"/>
  <c r="P7" i="1"/>
  <c r="O7" i="1"/>
  <c r="N7" i="1"/>
  <c r="N40" i="1" l="1"/>
  <c r="O40" i="1"/>
  <c r="P40" i="1"/>
  <c r="Q40" i="1"/>
  <c r="R40" i="1"/>
  <c r="S40" i="1"/>
  <c r="T40" i="1"/>
  <c r="U40" i="1"/>
  <c r="V40" i="1"/>
  <c r="W40" i="1"/>
  <c r="X40" i="1"/>
  <c r="Y40" i="1"/>
  <c r="N20" i="1"/>
  <c r="O20" i="1"/>
  <c r="O42" i="1" s="1"/>
  <c r="P20" i="1"/>
  <c r="P42" i="1" s="1"/>
  <c r="Q20" i="1"/>
  <c r="Q42" i="1" s="1"/>
  <c r="R20" i="1"/>
  <c r="R42" i="1" s="1"/>
  <c r="S20" i="1"/>
  <c r="S42" i="1" s="1"/>
  <c r="T20" i="1"/>
  <c r="T42" i="1" s="1"/>
  <c r="U20" i="1"/>
  <c r="U42" i="1" s="1"/>
  <c r="V20" i="1"/>
  <c r="V42" i="1" s="1"/>
  <c r="W20" i="1"/>
  <c r="W42" i="1" s="1"/>
  <c r="X20" i="1"/>
  <c r="X42" i="1" s="1"/>
  <c r="Y20" i="1"/>
  <c r="Y42" i="1" s="1"/>
  <c r="N42" i="1" l="1"/>
  <c r="Z20" i="1"/>
  <c r="Z4" i="1"/>
  <c r="N13" i="1" l="1"/>
  <c r="N21" i="1" s="1"/>
  <c r="Z40" i="1" l="1"/>
  <c r="Z42" i="1" s="1"/>
  <c r="Z12" i="1"/>
  <c r="Z11" i="1"/>
  <c r="Z10" i="1"/>
  <c r="Z9" i="1"/>
  <c r="Z8" i="1"/>
  <c r="Z7" i="1"/>
  <c r="Q49" i="1" l="1"/>
  <c r="N47" i="1"/>
  <c r="Z47" i="1" s="1"/>
  <c r="R49" i="1"/>
  <c r="U49" i="1"/>
  <c r="V49" i="1"/>
  <c r="W13" i="1" l="1"/>
  <c r="W21" i="1" s="1"/>
  <c r="W41" i="1" s="1"/>
  <c r="V13" i="1"/>
  <c r="V21" i="1" s="1"/>
  <c r="V41" i="1" s="1"/>
  <c r="S13" i="1"/>
  <c r="S21" i="1" s="1"/>
  <c r="S41" i="1" s="1"/>
  <c r="R13" i="1" l="1"/>
  <c r="R21" i="1" s="1"/>
  <c r="V46" i="1"/>
  <c r="V48" i="1" s="1"/>
  <c r="R41" i="1" l="1"/>
  <c r="R46" i="1" s="1"/>
  <c r="R48" i="1" s="1"/>
  <c r="AA47" i="1"/>
  <c r="Y13" i="1"/>
  <c r="U13" i="1"/>
  <c r="Y21" i="1" l="1"/>
  <c r="Y41" i="1" s="1"/>
  <c r="Y46" i="1" s="1"/>
  <c r="U21" i="1"/>
  <c r="U41" i="1" s="1"/>
  <c r="X13" i="1"/>
  <c r="X21" i="1" s="1"/>
  <c r="Y48" i="1" l="1"/>
  <c r="X41" i="1"/>
  <c r="X46" i="1" s="1"/>
  <c r="X48" i="1" s="1"/>
  <c r="T13" i="1"/>
  <c r="T21" i="1" s="1"/>
  <c r="Q6" i="1"/>
  <c r="Z6" i="1" s="1"/>
  <c r="T41" i="1" l="1"/>
  <c r="T46" i="1" s="1"/>
  <c r="T48" i="1" s="1"/>
  <c r="AA6" i="1"/>
  <c r="Q13" i="1"/>
  <c r="Q21" i="1" s="1"/>
  <c r="Q41" i="1" s="1"/>
  <c r="D11" i="2"/>
  <c r="Z13" i="1" l="1"/>
  <c r="Z21" i="1" s="1"/>
  <c r="Z41" i="1" s="1"/>
  <c r="D12" i="2"/>
  <c r="W49" i="1" l="1"/>
  <c r="W46" i="1"/>
  <c r="S46" i="1"/>
  <c r="S49" i="1"/>
  <c r="U46" i="1"/>
  <c r="U48" i="1" s="1"/>
  <c r="Z49" i="1" l="1"/>
  <c r="AA49" i="1" s="1"/>
  <c r="P13" i="1"/>
  <c r="P21" i="1" s="1"/>
  <c r="P41" i="1" s="1"/>
  <c r="A7" i="3"/>
  <c r="AA13" i="1" l="1"/>
  <c r="O13" i="1"/>
  <c r="N41" i="1" l="1"/>
  <c r="N46" i="1" s="1"/>
  <c r="O21" i="1"/>
  <c r="P46" i="1"/>
  <c r="P48" i="1" s="1"/>
  <c r="B5" i="3"/>
  <c r="D13" i="2"/>
  <c r="N48" i="1" l="1"/>
  <c r="O41" i="1"/>
  <c r="O46" i="1" s="1"/>
  <c r="O48" i="1" s="1"/>
  <c r="Q46" i="1"/>
  <c r="Q48" i="1" s="1"/>
  <c r="Z46" i="1" l="1"/>
  <c r="Z48" i="1"/>
  <c r="AA48" i="1"/>
  <c r="A1" i="3"/>
  <c r="AA46"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<sst xmlns="http://schemas.openxmlformats.org/spreadsheetml/2006/main" count="543" uniqueCount="235">
  <si>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</si>
  <si>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</si>
  <si>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</si>
  <si>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</si>
  <si>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</si>
  <si>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</si>
  <si>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</si>
  <si>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</si>
  <si>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</si>
  <si>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</si>
  <si>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</si>
  <si>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</si>
  <si>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</si>
  <si>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</si>
  <si>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</si>
  <si>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</si>
  <si>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</si>
  <si>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</si>
  <si>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</si>
  <si>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</si>
  <si>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</si>
  <si>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</si>
  <si>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</si>
  <si>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</si>
  <si>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</si>
  <si>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</si>
  <si>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</si>
  <si>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</si>
  <si>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</si>
  <si>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</si>
  <si>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</si>
  <si>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</si>
  <si>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</si>
  <si>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</si>
  <si>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</si>
  <si>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</si>
  <si>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</si>
  <si>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</si>
  <si>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</si>
  <si>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</si>
  <si>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</si>
  <si>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</si>
  <si>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</si>
  <si>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</si>
  <si>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</si>
  <si>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</si>
  <si>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</si>
  <si>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</si>
  <si>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</si>
  <si>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</si>
  <si>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</si>
  <si>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</si>
  <si>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</si>
  <si>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</si>
  <si>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</si>
  <si>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</si>
  <si>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</si>
  <si>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</si>
  <si>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</si>
  <si>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</si>
  <si>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</si>
  <si>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</si>
  <si>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</si>
  <si>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</si>
  <si>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</si>
  <si>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</si>
  <si>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</si>
  <si>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</si>
  <si>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</si>
  <si>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</si>
  <si>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</si>
  <si>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</si>
  <si>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</si>
  <si>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</si>
  <si>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</si>
  <si>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</si>
  <si>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</si>
  <si>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</si>
  <si>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</si>
  <si>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</si>
  <si>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</si>
  <si>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</si>
  <si>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</si>
  <si>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</si>
  <si>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</si>
  <si>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</si>
  <si>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</si>
  <si>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</si>
  <si>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</si>
  <si>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</si>
  <si>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</si>
  <si>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</si>
  <si>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</si>
  <si>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</si>
  <si>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</si>
  <si>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</si>
  <si>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</si>
  <si>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</si>
  <si>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</si>
  <si>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</si>
  <si>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</si>
  <si>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</si>
  <si>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</si>
  <si>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</si>
  <si>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</si>
  <si>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</si>
  <si>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</si>
  <si>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</si>
  <si>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</si>
  <si>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</si>
  <si>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</si>
  <si>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</si>
  <si>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</si>
  <si>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</si>
  <si>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</si>
  <si>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</si>
  <si>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</si>
  <si>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</si>
  <si>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</si>
  <si>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</si>
  <si>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</si>
  <si>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</si>
  <si>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</si>
  <si>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</si>
  <si>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</si>
  <si>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</si>
  <si>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</si>
  <si>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</si>
  <si>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</si>
  <si>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</si>
  <si>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</si>
  <si>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</si>
  <si>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</si>
  <si>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</si>
  <si>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</si>
  <si>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</si>
  <si>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</si>
  <si>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</si>
  <si>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</si>
  <si>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</si>
  <si>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</si>
  <si>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</si>
  <si>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</si>
  <si>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</si>
  <si>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</si>
  <si>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</si>
  <si>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</si>
  <si>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</si>
  <si>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</si>
  <si>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</si>
  <si>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</si>
  <si>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</si>
  <si>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</si>
  <si>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</si>
  <si>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</si>
  <si>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</si>
  <si>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</si>
  <si>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</si>
  <si>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</si>
  <si>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</si>
  <si>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</si>
  <si>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</si>
  <si>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</si>
  <si>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</si>
  <si>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</si>
  <si>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</si>
  <si>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</si>
  <si>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</si>
  <si>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</si>
  <si>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</si>
  <si>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</si>
  <si>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</si>
  <si>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</si>
  <si>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TBD</t>
  </si>
  <si>
    <t>PAG131.00</t>
  </si>
  <si>
    <t>131.00</t>
  </si>
  <si>
    <t>22ND STREET, I-10 TO TUCSON BLVD</t>
  </si>
  <si>
    <t>PPG1902P</t>
  </si>
  <si>
    <t>PAG 2019 WP - PL</t>
  </si>
  <si>
    <t>PPG1904P</t>
  </si>
  <si>
    <t>PAG 2019 WP - STBGP W/OUT MATCH</t>
  </si>
  <si>
    <t>SF02501C</t>
  </si>
  <si>
    <t>PAG #90.12</t>
  </si>
  <si>
    <t>UA 2ND STREET BIKE AND PEDESTRIAN IMPROVEMENTS</t>
  </si>
  <si>
    <t>252</t>
  </si>
  <si>
    <t>SH65201C</t>
  </si>
  <si>
    <t>PAG# 48.14</t>
  </si>
  <si>
    <t>SPEEDWAY BLVD: PAINTED HILLS TO CAMINO DE OESTE</t>
  </si>
  <si>
    <t>254</t>
  </si>
  <si>
    <t>T005101C</t>
  </si>
  <si>
    <t>PAG #103.08</t>
  </si>
  <si>
    <t>Five Points Transportation Enhancement</t>
  </si>
  <si>
    <t>263</t>
  </si>
  <si>
    <t>T010901C</t>
  </si>
  <si>
    <t>PAG# 787.00</t>
  </si>
  <si>
    <t>KOLB RD - SABINO CANYON RD TO SUNRISE DR</t>
  </si>
  <si>
    <t>257</t>
  </si>
  <si>
    <t>T013901C</t>
  </si>
  <si>
    <t>35.16</t>
  </si>
  <si>
    <t>Tanque Verde Rd at Tanque Verde Loop Rd Intersect</t>
  </si>
  <si>
    <t>262</t>
  </si>
  <si>
    <t>T014001C</t>
  </si>
  <si>
    <t>63.14</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</si>
  <si>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</si>
  <si>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</si>
  <si>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</si>
  <si>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</si>
  <si>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</si>
  <si>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</si>
  <si>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</si>
  <si>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</si>
  <si>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</si>
  <si>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</si>
  <si>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</si>
  <si>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</si>
  <si>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</si>
  <si>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</si>
  <si>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</si>
  <si>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</si>
  <si>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SZ12901X</t>
  </si>
  <si>
    <t>PAG 26.13</t>
  </si>
  <si>
    <t>BICYCLE AND PEDESTRIAN PROGRAM</t>
  </si>
  <si>
    <t>260</t>
  </si>
  <si>
    <t>T014601X</t>
  </si>
  <si>
    <t>7694 / PAG# 22.15</t>
  </si>
  <si>
    <t>Sign panel replacemnt Pima County Region wide</t>
  </si>
  <si>
    <t>PAG21.16</t>
  </si>
  <si>
    <t>PAG# 21.16</t>
  </si>
  <si>
    <t>MENLO PARK AND 8TH CONVENT BIKE BLVDS</t>
  </si>
  <si>
    <t>LOCAL LEDGERS</t>
  </si>
  <si>
    <t>PPG1803P</t>
  </si>
  <si>
    <t>PAG 2018 WP - STP MATCH</t>
  </si>
  <si>
    <t>018</t>
  </si>
  <si>
    <t>PPG1804P</t>
  </si>
  <si>
    <t>PAG 2018 WP - STP NO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</si>
</sst>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9"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18" fillId="0" borderId="0" xfId="0" applyNumberFormat="1" applyFont="1" applyBorder="1" applyAlignment="1">
      <alignment horizontal="left" vertical="top" wrapText="1"/>
    </xf>
    <xf numFmtId="40" fontId="18"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19" fillId="0" borderId="0" xfId="0" applyNumberFormat="1" applyFont="1" applyBorder="1" applyAlignment="1">
      <alignment vertical="top" wrapText="1"/>
    </xf>
    <xf numFmtId="40" fontId="25" fillId="0" borderId="0" xfId="0" applyNumberFormat="1" applyFont="1" applyFill="1" applyBorder="1" applyAlignment="1">
      <alignment horizontal="right" vertical="top" wrapText="1"/>
    </xf>
    <xf numFmtId="0" fontId="11" fillId="0" borderId="0" xfId="0" applyFont="1" applyBorder="1" applyAlignment="1">
      <alignment vertical="top" wrapText="1"/>
    </xf>
    <xf numFmtId="40" fontId="11" fillId="0" borderId="0" xfId="0" applyNumberFormat="1" applyFont="1" applyBorder="1" applyAlignment="1">
      <alignment vertical="top" wrapText="1"/>
    </xf>
    <xf numFmtId="0" fontId="15" fillId="0" borderId="0" xfId="0" applyFont="1" applyBorder="1" applyAlignment="1">
      <alignment vertical="top"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40" fontId="15" fillId="0" borderId="0" xfId="0" applyNumberFormat="1" applyFont="1" applyBorder="1" applyAlignment="1">
      <alignment vertical="top" wrapText="1"/>
    </xf>
    <xf numFmtId="43" fontId="0" fillId="0" borderId="1" xfId="3" applyFont="1" applyBorder="1"/>
    <xf numFmtId="43" fontId="10" fillId="0" borderId="1" xfId="3" applyFont="1" applyBorder="1"/>
    <xf numFmtId="43" fontId="0" fillId="0" borderId="8" xfId="3" applyFont="1" applyBorder="1"/>
    <xf numFmtId="43" fontId="10" fillId="0" borderId="8" xfId="3" applyFont="1" applyBorder="1"/>
    <xf numFmtId="43" fontId="10" fillId="0" borderId="9" xfId="3" applyFont="1" applyBorder="1"/>
    <xf numFmtId="43" fontId="10" fillId="0" borderId="4"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40" fontId="14" fillId="0" borderId="3" xfId="1" applyNumberFormat="1" applyFont="1" applyFill="1" applyBorder="1" applyAlignment="1">
      <alignment horizontal="center" vertical="center" wrapText="1"/>
    </xf>
    <xf numFmtId="43" fontId="10"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1" fillId="0" borderId="0" xfId="0" applyNumberFormat="1" applyFont="1" applyAlignment="1">
      <alignment horizontal="center" vertical="center" wrapText="1"/>
    </xf>
    <xf numFmtId="14" fontId="11" fillId="0" borderId="0" xfId="0" applyNumberFormat="1" applyFont="1" applyBorder="1" applyAlignment="1">
      <alignment horizontal="center" vertical="center" wrapText="1"/>
    </xf>
    <xf numFmtId="14" fontId="21" fillId="0" borderId="0" xfId="0" applyNumberFormat="1" applyFont="1" applyBorder="1" applyAlignment="1">
      <alignment horizontal="center" vertical="center" wrapText="1"/>
    </xf>
    <xf numFmtId="40" fontId="11" fillId="0" borderId="0" xfId="0" applyNumberFormat="1" applyFont="1" applyFill="1" applyAlignment="1">
      <alignment vertical="top" wrapText="1"/>
    </xf>
    <xf numFmtId="40" fontId="11" fillId="0" borderId="0" xfId="0" quotePrefix="1" applyNumberFormat="1" applyFont="1" applyAlignment="1">
      <alignment vertical="top" wrapText="1"/>
    </xf>
    <xf numFmtId="0" fontId="15" fillId="0" borderId="0" xfId="0" applyFont="1" applyBorder="1" applyAlignment="1">
      <alignment horizontal="left" vertical="top" wrapText="1"/>
    </xf>
    <xf numFmtId="40" fontId="15" fillId="0" borderId="0" xfId="0" applyNumberFormat="1" applyFont="1" applyBorder="1" applyAlignment="1">
      <alignment horizontal="right" vertical="center" wrapText="1"/>
    </xf>
    <xf numFmtId="40" fontId="18" fillId="0" borderId="0" xfId="0" applyNumberFormat="1" applyFont="1" applyBorder="1" applyAlignment="1">
      <alignment horizontal="center" vertical="top" wrapText="1"/>
    </xf>
    <xf numFmtId="0" fontId="0" fillId="0" borderId="0" xfId="0" applyAlignment="1">
      <alignment vertical="top" wrapText="1"/>
    </xf>
    <xf numFmtId="14" fontId="15" fillId="0" borderId="0" xfId="0" applyNumberFormat="1" applyFont="1" applyBorder="1" applyAlignment="1">
      <alignment horizontal="center" vertical="top" wrapText="1"/>
    </xf>
    <xf numFmtId="40" fontId="15" fillId="0" borderId="0" xfId="0" applyNumberFormat="1" applyFont="1" applyBorder="1" applyAlignment="1">
      <alignment horizontal="right" vertical="top" wrapText="1"/>
    </xf>
    <xf numFmtId="0" fontId="15" fillId="0" borderId="0" xfId="0" applyFont="1" applyBorder="1" applyAlignment="1">
      <alignment horizontal="center" vertical="top" wrapText="1"/>
    </xf>
    <xf numFmtId="40" fontId="15" fillId="0" borderId="0" xfId="0" applyNumberFormat="1" applyFont="1" applyBorder="1" applyAlignment="1">
      <alignment horizontal="center" vertical="top" wrapText="1"/>
    </xf>
    <xf numFmtId="40" fontId="15" fillId="0" borderId="0" xfId="0" applyNumberFormat="1" applyFont="1" applyAlignment="1">
      <alignment horizontal="center" vertical="top" wrapText="1"/>
    </xf>
    <xf numFmtId="14" fontId="11" fillId="0" borderId="0" xfId="0" applyNumberFormat="1" applyFont="1" applyBorder="1" applyAlignment="1">
      <alignment horizontal="center" vertical="top" wrapText="1"/>
    </xf>
    <xf numFmtId="14" fontId="18" fillId="0" borderId="0" xfId="0" applyNumberFormat="1" applyFont="1" applyBorder="1" applyAlignment="1">
      <alignment horizontal="center" vertical="top" wrapText="1"/>
    </xf>
    <xf numFmtId="40" fontId="14" fillId="0" borderId="12" xfId="1" applyNumberFormat="1" applyFont="1" applyBorder="1" applyAlignment="1">
      <alignment horizontal="center" vertical="top" wrapText="1"/>
    </xf>
    <xf numFmtId="40" fontId="14" fillId="2" borderId="15" xfId="1" applyNumberFormat="1" applyFont="1" applyFill="1" applyBorder="1" applyAlignment="1">
      <alignment horizontal="center" vertical="top" wrapText="1"/>
    </xf>
    <xf numFmtId="14" fontId="21" fillId="0" borderId="3" xfId="0" applyNumberFormat="1" applyFont="1" applyBorder="1" applyAlignment="1">
      <alignment horizontal="center" vertical="top" wrapText="1"/>
    </xf>
    <xf numFmtId="14" fontId="21" fillId="0" borderId="1" xfId="0" applyNumberFormat="1" applyFont="1" applyBorder="1" applyAlignment="1">
      <alignment horizontal="center" vertical="top" wrapText="1"/>
    </xf>
    <xf numFmtId="0" fontId="15" fillId="0" borderId="0" xfId="0" applyFont="1" applyBorder="1" applyAlignment="1">
      <alignment horizontal="center" vertical="center" wrapText="1"/>
    </xf>
    <xf numFmtId="40" fontId="15" fillId="0" borderId="0" xfId="0" applyNumberFormat="1" applyFont="1" applyFill="1" applyBorder="1" applyAlignment="1">
      <alignment vertical="top" wrapText="1"/>
    </xf>
    <xf numFmtId="40" fontId="15" fillId="0" borderId="0" xfId="0" applyNumberFormat="1" applyFont="1" applyBorder="1" applyAlignment="1">
      <alignment vertical="top"/>
    </xf>
    <xf numFmtId="43" fontId="28" fillId="0" borderId="8" xfId="3" applyFont="1" applyBorder="1"/>
    <xf numFmtId="43" fontId="28" fillId="0" borderId="1" xfId="3" applyFont="1" applyBorder="1"/>
    <xf numFmtId="14" fontId="17" fillId="0" borderId="0" xfId="0" applyNumberFormat="1" applyFont="1" applyBorder="1" applyAlignment="1">
      <alignment horizontal="right" vertical="top"/>
    </xf>
    <xf numFmtId="14" fontId="21" fillId="0" borderId="0" xfId="0" applyNumberFormat="1" applyFont="1" applyBorder="1" applyAlignment="1">
      <alignment horizontal="right" vertical="top"/>
    </xf>
    <xf numFmtId="40" fontId="15" fillId="0" borderId="1" xfId="3" applyNumberFormat="1" applyFont="1" applyBorder="1" applyAlignment="1">
      <alignment vertical="top"/>
    </xf>
    <xf numFmtId="40" fontId="15" fillId="0" borderId="2" xfId="3" applyNumberFormat="1" applyFont="1" applyBorder="1" applyAlignment="1">
      <alignment vertical="top"/>
    </xf>
    <xf numFmtId="40" fontId="27" fillId="0" borderId="18" xfId="3" applyNumberFormat="1" applyFont="1" applyBorder="1" applyAlignment="1">
      <alignment vertical="top"/>
    </xf>
    <xf numFmtId="40" fontId="15" fillId="0" borderId="0" xfId="3" applyNumberFormat="1" applyFont="1" applyBorder="1" applyAlignment="1">
      <alignment vertical="top"/>
    </xf>
    <xf numFmtId="40" fontId="15" fillId="0" borderId="9" xfId="3" applyNumberFormat="1" applyFont="1" applyFill="1" applyBorder="1" applyAlignment="1">
      <alignment vertical="top"/>
    </xf>
    <xf numFmtId="40" fontId="22" fillId="0" borderId="2" xfId="3" applyNumberFormat="1" applyFont="1" applyBorder="1" applyAlignment="1">
      <alignment vertical="top"/>
    </xf>
    <xf numFmtId="40" fontId="29" fillId="0" borderId="2" xfId="3" applyNumberFormat="1" applyFont="1" applyBorder="1" applyAlignment="1">
      <alignment vertical="top"/>
    </xf>
    <xf numFmtId="40" fontId="15" fillId="0" borderId="0" xfId="0" applyNumberFormat="1" applyFont="1" applyAlignment="1">
      <alignment vertical="top" wrapText="1"/>
    </xf>
    <xf numFmtId="0" fontId="30" fillId="0" borderId="0" xfId="0" applyFont="1" applyAlignment="1">
      <alignment vertical="top" wrapText="1"/>
    </xf>
    <xf numFmtId="40" fontId="15"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5" fillId="0" borderId="1" xfId="0" applyNumberFormat="1" applyFont="1" applyBorder="1" applyAlignment="1">
      <alignment vertical="top"/>
    </xf>
    <xf numFmtId="40" fontId="21" fillId="0" borderId="17" xfId="0" applyNumberFormat="1" applyFont="1" applyFill="1" applyBorder="1" applyAlignment="1">
      <alignment vertical="top"/>
    </xf>
    <xf numFmtId="0" fontId="15" fillId="0" borderId="0" xfId="0" applyFont="1" applyAlignment="1">
      <alignment vertical="top"/>
    </xf>
    <xf numFmtId="43" fontId="31" fillId="0" borderId="0" xfId="3" applyFont="1"/>
    <xf numFmtId="43" fontId="31" fillId="0" borderId="9" xfId="3" applyFont="1" applyBorder="1"/>
    <xf numFmtId="43" fontId="31" fillId="0" borderId="19" xfId="3" applyFont="1" applyBorder="1"/>
    <xf numFmtId="43" fontId="31" fillId="0" borderId="4" xfId="3" applyFont="1" applyBorder="1"/>
    <xf numFmtId="43" fontId="31" fillId="0" borderId="20" xfId="3" applyFont="1" applyBorder="1"/>
    <xf numFmtId="14" fontId="14" fillId="0" borderId="10" xfId="1" applyNumberFormat="1" applyFont="1" applyFill="1" applyBorder="1" applyAlignment="1">
      <alignment horizontal="center" vertical="center" wrapText="1"/>
    </xf>
    <xf numFmtId="14" fontId="15" fillId="0" borderId="18" xfId="0" applyNumberFormat="1" applyFont="1" applyBorder="1" applyAlignment="1">
      <alignment horizontal="left" vertical="center" wrapText="1"/>
    </xf>
    <xf numFmtId="14" fontId="15" fillId="0" borderId="18" xfId="0" applyNumberFormat="1" applyFont="1" applyFill="1" applyBorder="1" applyAlignment="1">
      <alignment horizontal="left" vertical="center" wrapText="1"/>
    </xf>
    <xf numFmtId="14" fontId="21" fillId="0" borderId="13" xfId="0" applyNumberFormat="1" applyFont="1" applyBorder="1" applyAlignment="1">
      <alignment horizontal="left" vertical="center" wrapText="1"/>
    </xf>
    <xf numFmtId="40" fontId="14" fillId="2" borderId="10" xfId="1" applyNumberFormat="1" applyFont="1" applyFill="1" applyBorder="1" applyAlignment="1">
      <alignment horizontal="center" vertical="center" wrapText="1"/>
    </xf>
    <xf numFmtId="40" fontId="15" fillId="0" borderId="18" xfId="0" applyNumberFormat="1" applyFont="1" applyBorder="1" applyAlignment="1">
      <alignment vertical="top"/>
    </xf>
    <xf numFmtId="40" fontId="15" fillId="0" borderId="18" xfId="0" applyNumberFormat="1" applyFont="1" applyFill="1" applyBorder="1" applyAlignment="1">
      <alignment vertical="top"/>
    </xf>
    <xf numFmtId="40" fontId="21" fillId="0" borderId="14" xfId="0" applyNumberFormat="1" applyFont="1" applyFill="1" applyBorder="1" applyAlignment="1">
      <alignment vertical="top"/>
    </xf>
    <xf numFmtId="40" fontId="14" fillId="0" borderId="12" xfId="1" applyNumberFormat="1" applyFont="1" applyFill="1" applyBorder="1" applyAlignment="1">
      <alignment horizontal="center" vertical="center" wrapText="1"/>
    </xf>
    <xf numFmtId="40" fontId="15" fillId="0" borderId="22" xfId="0" applyNumberFormat="1" applyFont="1" applyBorder="1" applyAlignment="1">
      <alignment vertical="top"/>
    </xf>
    <xf numFmtId="40" fontId="15" fillId="0" borderId="21" xfId="0" applyNumberFormat="1" applyFont="1" applyFill="1" applyBorder="1" applyAlignment="1">
      <alignment vertical="top"/>
    </xf>
    <xf numFmtId="40" fontId="15" fillId="0" borderId="22" xfId="0" applyNumberFormat="1" applyFont="1" applyFill="1" applyBorder="1" applyAlignment="1">
      <alignment vertical="top"/>
    </xf>
    <xf numFmtId="40" fontId="21" fillId="0" borderId="16" xfId="0" applyNumberFormat="1" applyFont="1" applyFill="1" applyBorder="1" applyAlignment="1">
      <alignment vertical="top"/>
    </xf>
    <xf numFmtId="164" fontId="15" fillId="0" borderId="0" xfId="0" applyNumberFormat="1" applyFont="1" applyBorder="1" applyAlignment="1">
      <alignment horizontal="center" vertical="top" wrapText="1"/>
    </xf>
    <xf numFmtId="164" fontId="15" fillId="0" borderId="0" xfId="0" applyNumberFormat="1" applyFont="1" applyAlignment="1">
      <alignment horizontal="center" vertical="top" wrapText="1"/>
    </xf>
    <xf numFmtId="40" fontId="15" fillId="0" borderId="3" xfId="0" applyNumberFormat="1" applyFont="1" applyBorder="1" applyAlignment="1">
      <alignment vertical="top"/>
    </xf>
    <xf numFmtId="40" fontId="15" fillId="0" borderId="0" xfId="0" applyNumberFormat="1" applyFont="1" applyAlignment="1">
      <alignment vertical="top"/>
    </xf>
    <xf numFmtId="0" fontId="15" fillId="0" borderId="0" xfId="0" applyFont="1" applyBorder="1" applyAlignment="1">
      <alignment vertical="top"/>
    </xf>
    <xf numFmtId="43" fontId="32" fillId="0" borderId="20" xfId="3" applyFont="1" applyBorder="1"/>
    <xf numFmtId="43" fontId="32" fillId="0" borderId="0" xfId="3" applyFont="1" applyBorder="1"/>
    <xf numFmtId="43" fontId="32" fillId="0" borderId="0" xfId="3" applyFont="1"/>
    <xf numFmtId="40" fontId="15" fillId="0" borderId="0" xfId="3" applyNumberFormat="1" applyFont="1" applyAlignment="1">
      <alignment vertical="top"/>
    </xf>
    <xf numFmtId="40" fontId="14" fillId="0" borderId="6" xfId="1" applyNumberFormat="1" applyFont="1" applyFill="1" applyBorder="1" applyAlignment="1">
      <alignment horizontal="center" vertical="center" wrapText="1"/>
    </xf>
    <xf numFmtId="40" fontId="15" fillId="0" borderId="8" xfId="0" applyNumberFormat="1" applyFont="1" applyBorder="1" applyAlignment="1">
      <alignment vertical="top"/>
    </xf>
    <xf numFmtId="40" fontId="15" fillId="0" borderId="8" xfId="0" applyNumberFormat="1" applyFont="1" applyFill="1" applyBorder="1" applyAlignment="1">
      <alignment vertical="top"/>
    </xf>
    <xf numFmtId="40" fontId="21" fillId="0" borderId="25" xfId="0" applyNumberFormat="1" applyFont="1" applyFill="1" applyBorder="1" applyAlignment="1">
      <alignment vertical="top"/>
    </xf>
    <xf numFmtId="14" fontId="14" fillId="0" borderId="23" xfId="1" applyNumberFormat="1" applyFont="1" applyFill="1" applyBorder="1" applyAlignment="1">
      <alignment horizontal="center" vertical="center" wrapText="1"/>
    </xf>
    <xf numFmtId="40" fontId="33" fillId="0" borderId="0" xfId="0" applyNumberFormat="1" applyFont="1" applyAlignment="1">
      <alignment horizontal="right" vertical="top" wrapText="1"/>
    </xf>
    <xf numFmtId="40" fontId="33" fillId="0" borderId="0" xfId="0" applyNumberFormat="1" applyFont="1" applyAlignment="1">
      <alignment horizontal="center" vertical="top" wrapText="1"/>
    </xf>
    <xf numFmtId="40" fontId="33" fillId="0" borderId="0" xfId="0" applyNumberFormat="1" applyFont="1" applyAlignment="1">
      <alignment vertical="top" wrapText="1"/>
    </xf>
    <xf numFmtId="164" fontId="33" fillId="0" borderId="0" xfId="0" applyNumberFormat="1" applyFont="1" applyAlignment="1">
      <alignment horizontal="center" vertical="top" wrapText="1"/>
    </xf>
    <xf numFmtId="40" fontId="15" fillId="0" borderId="3" xfId="0" applyNumberFormat="1" applyFont="1" applyFill="1" applyBorder="1" applyAlignment="1">
      <alignment vertical="top"/>
    </xf>
    <xf numFmtId="40" fontId="33" fillId="0" borderId="0" xfId="0" applyNumberFormat="1" applyFont="1" applyAlignment="1">
      <alignment vertical="top"/>
    </xf>
    <xf numFmtId="40" fontId="11" fillId="0" borderId="0" xfId="0" applyNumberFormat="1" applyFont="1" applyBorder="1" applyAlignment="1">
      <alignment vertical="top"/>
    </xf>
    <xf numFmtId="0" fontId="13" fillId="0" borderId="0" xfId="0" applyFont="1" applyAlignment="1">
      <alignment horizontal="left" vertical="top" wrapText="1"/>
    </xf>
    <xf numFmtId="165" fontId="15" fillId="0" borderId="8" xfId="0" applyNumberFormat="1" applyFont="1" applyBorder="1" applyAlignment="1">
      <alignment horizontal="left" vertical="center" wrapText="1"/>
    </xf>
    <xf numFmtId="40" fontId="15" fillId="0" borderId="0" xfId="0" applyNumberFormat="1" applyFont="1" applyAlignment="1">
      <alignment horizontal="right" vertical="top" wrapText="1"/>
    </xf>
    <xf numFmtId="40" fontId="21" fillId="0" borderId="0" xfId="0" applyNumberFormat="1" applyFont="1" applyAlignment="1">
      <alignment vertical="top"/>
    </xf>
    <xf numFmtId="0" fontId="15" fillId="0" borderId="0" xfId="0" applyFont="1" applyAlignment="1">
      <alignment vertical="top" wrapText="1"/>
    </xf>
    <xf numFmtId="0" fontId="23" fillId="0" borderId="0" xfId="0" applyFont="1" applyAlignment="1">
      <alignment horizontal="left" vertical="top" wrapText="1"/>
    </xf>
    <xf numFmtId="40" fontId="18" fillId="0" borderId="0" xfId="0" applyNumberFormat="1" applyFont="1" applyBorder="1" applyAlignment="1">
      <alignment horizontal="center" vertical="top" wrapText="1"/>
    </xf>
    <xf numFmtId="0" fontId="26"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5" xfId="0" applyNumberFormat="1" applyFont="1" applyBorder="1" applyAlignment="1">
      <alignment horizontal="center" vertical="center" wrapText="1"/>
    </xf>
    <xf numFmtId="14" fontId="13" fillId="0" borderId="11"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1" fillId="0" borderId="0" xfId="0" applyFont="1" applyAlignment="1">
      <alignment horizontal="left" vertical="center"/>
    </xf>
    <xf numFmtId="0" fontId="23" fillId="0" borderId="0" xfId="0" applyFont="1" applyAlignment="1">
      <alignment vertical="top" wrapText="1"/>
    </xf>
    <xf numFmtId="40" fontId="24" fillId="4" borderId="24" xfId="1" applyNumberFormat="1" applyFont="1" applyFill="1" applyBorder="1" applyAlignment="1">
      <alignment horizontal="center" vertical="center" wrapText="1"/>
    </xf>
    <xf numFmtId="40" fontId="24" fillId="4" borderId="0"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4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39"/>
      <tableStyleElement type="firstRowStripe" dxfId="138"/>
    </tableStyle>
    <tableStyle name="Table Style 2" pivot="0" count="1">
      <tableStyleElement type="firstRowStripe" dxfId="137"/>
    </tableStyle>
    <tableStyle name="Table Style 3" pivot="0" count="1">
      <tableStyleElement type="firstRowStripe" dxfId="136"/>
    </tableStyle>
    <tableStyle name="Table Style 4" pivot="0" count="3">
      <tableStyleElement type="wholeTable" dxfId="135"/>
      <tableStyleElement type="headerRow" dxfId="134"/>
      <tableStyleElement type="firstRowStripe" dxfId="13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2">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gt;200" tableColumnId="22"/>
      <queryTableField id="17" name="STP Flex" tableColumnId="23"/>
      <queryTableField id="18" name="TAP &lt;5" tableColumnId="24"/>
      <queryTableField id="19" name="TAP 5-2" tableColumnId="25"/>
      <queryTableField id="20" name="TAP &gt;200" tableColumnId="26"/>
      <queryTableField id="22" dataBound="0" tableColumnId="28"/>
      <queryTableField id="21" name="TAP Flex" tableColumnId="2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TAP &lt;5" tableColumnId="19"/>
      <queryTableField id="19" name="TAP 5-2" tableColumnId="20"/>
      <queryTableField id="20" name="TAP &gt;200" tableColumnId="21"/>
      <queryTableField id="21" name="TAP Flex" tableColumnId="22"/>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A13" totalsRowShown="0" headerRowDxfId="132" dataDxfId="130" headerRowBorderDxfId="131" tableBorderDxfId="129" totalsRowBorderDxfId="128" headerRowCellStyle="Currency">
  <autoFilter ref="M3:AA13"/>
  <tableColumns count="15">
    <tableColumn id="1" name="Description" dataDxfId="127"/>
    <tableColumn id="3" name="HURF EX" dataDxfId="126"/>
    <tableColumn id="4" name="HSIP/3" dataDxfId="125"/>
    <tableColumn id="2" name="PL" dataDxfId="124"/>
    <tableColumn id="5" name="SPR /4" dataDxfId="123"/>
    <tableColumn id="6" name="STP &lt;5" dataDxfId="122"/>
    <tableColumn id="10" name="STP 5-2" dataDxfId="121"/>
    <tableColumn id="11" name="STP OVER 200K" dataDxfId="120"/>
    <tableColumn id="9" name="STP other" dataDxfId="119"/>
    <tableColumn id="12" name="TAP &lt;5" dataDxfId="118"/>
    <tableColumn id="15" name="TAP 5-2" dataDxfId="117"/>
    <tableColumn id="13" name="TAP &gt;200" dataDxfId="116"/>
    <tableColumn id="14" name="TA OTHER" dataDxfId="115"/>
    <tableColumn id="7" name="Total" dataDxfId="114"/>
    <tableColumn id="8" name="FFY OBLIGATION AUTHORITY /2" dataDxfId="113"/>
  </tableColumns>
  <tableStyleInfo name="Table Style 4" showFirstColumn="0" showLastColumn="0" showRowStripes="1" showColumnStripes="0"/>
</table>
</file>

<file path=xl/tables/table2.xml><?xml version="1.0" encoding="utf-8"?>
<table xmlns="http://schemas.openxmlformats.org/spreadsheetml/2006/main" id="6" name="Table6" displayName="Table6" ref="N45:AA49" totalsRowShown="0" headerRowDxfId="112" dataDxfId="110" headerRowBorderDxfId="111" tableBorderDxfId="109" totalsRowBorderDxfId="108" headerRowCellStyle="Currency" dataCellStyle="Comma">
  <autoFilter ref="N45:AA49"/>
  <tableColumns count="14">
    <tableColumn id="3" name="HURF EX" dataDxfId="107" dataCellStyle="Comma">
      <calculatedColumnFormula>+N45-#REF!</calculatedColumnFormula>
    </tableColumn>
    <tableColumn id="4" name="HSIP" dataDxfId="106" dataCellStyle="Comma">
      <calculatedColumnFormula>+O45-#REF!</calculatedColumnFormula>
    </tableColumn>
    <tableColumn id="5" name="PL" dataDxfId="105" dataCellStyle="Comma">
      <calculatedColumnFormula>+P45-#REF!</calculatedColumnFormula>
    </tableColumn>
    <tableColumn id="2" name="SPR" dataDxfId="104">
      <calculatedColumnFormula>+Q41</calculatedColumnFormula>
    </tableColumn>
    <tableColumn id="1" name="STP &lt;5" dataDxfId="103">
      <calculatedColumnFormula>+R41</calculatedColumnFormula>
    </tableColumn>
    <tableColumn id="6" name="STP 5-2" dataDxfId="102" dataCellStyle="Comma"/>
    <tableColumn id="7" name="STP OVER 200K" dataDxfId="101" dataCellStyle="Comma"/>
    <tableColumn id="12" name="STP OTHER" dataDxfId="100">
      <calculatedColumnFormula>+U41</calculatedColumnFormula>
    </tableColumn>
    <tableColumn id="13" name="TAP &lt;5" dataDxfId="99">
      <calculatedColumnFormula>+V41</calculatedColumnFormula>
    </tableColumn>
    <tableColumn id="8" name="TAP 5-2" dataDxfId="98" dataCellStyle="Comma"/>
    <tableColumn id="9" name="TA OVER 200K" dataDxfId="97" dataCellStyle="Comma"/>
    <tableColumn id="14" name="TA OTHER"/>
    <tableColumn id="10" name="Total" dataDxfId="96" dataCellStyle="Comma">
      <calculatedColumnFormula>+SUM(#REF!)</calculatedColumnFormula>
    </tableColumn>
    <tableColumn id="11" name="OA" dataDxfId="95" dataCellStyle="Comma">
      <calculatedColumnFormula>+#REF!-AA45</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A19" tableType="queryTable" totalsRowShown="0" headerRowDxfId="94" dataDxfId="93">
  <autoFilter ref="A16:AA19"/>
  <sortState ref="A17:AA19">
    <sortCondition ref="M15:M37"/>
  </sortState>
  <tableColumns count="27">
    <tableColumn id="1" uniqueName="1" name="ADOT#" queryTableFieldId="1" dataDxfId="56"/>
    <tableColumn id="2" uniqueName="2" name="TIP#" queryTableFieldId="2" dataDxfId="55"/>
    <tableColumn id="3" uniqueName="3" name="Sponsor" queryTableFieldId="3" dataDxfId="54"/>
    <tableColumn id="4" uniqueName="4" name="Action/15" queryTableFieldId="4" dataDxfId="53"/>
    <tableColumn id="5" uniqueName="5" name="Location" queryTableFieldId="5" dataDxfId="52"/>
    <tableColumn id="6" uniqueName="6" name="RTE" queryTableFieldId="6" dataDxfId="51"/>
    <tableColumn id="7" uniqueName="7" name="SEC" queryTableFieldId="7" dataDxfId="50"/>
    <tableColumn id="8" uniqueName="8" name="SEQ" queryTableFieldId="8" dataDxfId="49"/>
    <tableColumn id="27" uniqueName="27" name="Fed #" queryTableFieldId="27" dataDxfId="48">
      <calculatedColumnFormula>CONCATENATE(Table_Query_from_MS_Access_Database4[RTE],Table_Query_from_MS_Access_Database4[SEC],Table_Query_from_MS_Access_Database4[SEQ])</calculatedColumnFormula>
    </tableColumn>
    <tableColumn id="9" uniqueName="9" name="PB Expected" queryTableFieldId="9" dataDxfId="47"/>
    <tableColumn id="10" uniqueName="10" name="PB Received" queryTableFieldId="10" dataDxfId="46"/>
    <tableColumn id="11" uniqueName="11" name="PF Transmitted" queryTableFieldId="11" dataDxfId="45"/>
    <tableColumn id="12" uniqueName="12" name="Finance Authorization" queryTableFieldId="12" dataDxfId="44"/>
    <tableColumn id="13" uniqueName="13" name="HURF EX" queryTableFieldId="13" dataDxfId="43"/>
    <tableColumn id="14" uniqueName="14" name="HSIP" queryTableFieldId="14" dataDxfId="42"/>
    <tableColumn id="15" uniqueName="15" name="PL" queryTableFieldId="15" dataDxfId="41"/>
    <tableColumn id="16" uniqueName="16" name="SPR" queryTableFieldId="16" dataDxfId="40"/>
    <tableColumn id="17" uniqueName="17" name="STP &lt;5" queryTableFieldId="17" dataDxfId="39"/>
    <tableColumn id="18" uniqueName="18" name="STP 5-200" queryTableFieldId="18" dataDxfId="38"/>
    <tableColumn id="19" uniqueName="19" name="STP OVER 200K" queryTableFieldId="19" dataDxfId="92"/>
    <tableColumn id="20" uniqueName="20" name="STP OTHER" queryTableFieldId="20" dataDxfId="37"/>
    <tableColumn id="21" uniqueName="21" name="TAP &lt;5" queryTableFieldId="21" dataDxfId="36"/>
    <tableColumn id="22" uniqueName="22" name="TAP 5-2" queryTableFieldId="22" dataDxfId="35"/>
    <tableColumn id="23" uniqueName="23" name="TAP &gt;200" queryTableFieldId="23" dataDxfId="34"/>
    <tableColumn id="24" uniqueName="24" name="TAP Other" queryTableFieldId="24" dataDxfId="33"/>
    <tableColumn id="25" uniqueName="25" name="TOTAL OF AMOUNT" queryTableFieldId="26" dataDxfId="32" dataCellStyle="Comma">
      <calculatedColumnFormula>SUM(Table_Query_from_MS_Access_Database4[[#This Row],[HURF EX]:[TAP Other]])</calculatedColumnFormula>
    </tableColumn>
    <tableColumn id="26" uniqueName="26" name="DECLINING BALANCE OA" queryTableFieldId="25" dataDxfId="1" dataCellStyle="Comma">
      <calculatedColumnFormula>AA13-Table_Query_from_MS_Access_Database4[TOTAL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24:AA39" tableType="queryTable" totalsRowShown="0" headerRowDxfId="91" dataDxfId="90">
  <autoFilter ref="A24:AA39"/>
  <tableColumns count="27">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6" uniqueName="6" name="RTE" queryTableFieldId="6" dataDxfId="77"/>
    <tableColumn id="7" uniqueName="7" name="SEC" queryTableFieldId="7" dataDxfId="76"/>
    <tableColumn id="8" uniqueName="8" name="SEQ" queryTableFieldId="8" dataDxfId="75"/>
    <tableColumn id="27" uniqueName="27" name="Fed #" queryTableFieldId="27"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VER 200K" queryTableFieldId="19" dataDxfId="63"/>
    <tableColumn id="20" uniqueName="20" name="STP OTHER" queryTableFieldId="20" dataDxfId="62"/>
    <tableColumn id="21" uniqueName="21" name="TAP &lt;5" queryTableFieldId="21" dataDxfId="61"/>
    <tableColumn id="22" uniqueName="22" name="TAP 5-2" queryTableFieldId="22" dataDxfId="60"/>
    <tableColumn id="23" uniqueName="23" name="TAP &gt;200" queryTableFieldId="23" dataDxfId="59"/>
    <tableColumn id="24" uniqueName="24" name="TAP Other" queryTableFieldId="24" dataDxfId="58"/>
    <tableColumn id="25" uniqueName="25" name="TOTAL OF AMOUNT" queryTableFieldId="26" dataDxfId="57">
      <calculatedColumnFormula>SUM(Table_Query_from_MS_Access_Database_1[[#This Row],[HURF EX]:[TAP Other]])</calculatedColumnFormula>
    </tableColumn>
    <tableColumn id="26" uniqueName="26" name="EXPECTED DECLINING BALANCE OA" queryTableFieldId="25" dataDxfId="0">
      <calculatedColumnFormula>AA19-Table_Query_from_MS_Access_Database_1[TOTAL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V25" tableType="queryTable" totalsRowShown="0" headerRowDxfId="89" headerRowBorderDxfId="88" tableBorderDxfId="87" totalsRowBorderDxfId="86" headerRowCellStyle="Comma" dataCellStyle="Comma">
  <autoFilter ref="A11:V25"/>
  <tableColumns count="22">
    <tableColumn id="7" uniqueName="7" name="Transaction Year" queryTableFieldId="1" dataCellStyle="Comma"/>
    <tableColumn id="8" uniqueName="8" name="Transaction Type" queryTableFieldId="2" dataCellStyle="Comma"/>
    <tableColumn id="9" uniqueName="9" name="Number" queryTableFieldId="3" dataCellStyle="Comma"/>
    <tableColumn id="10" uniqueName="10" name="From" queryTableFieldId="4" dataCellStyle="Comma"/>
    <tableColumn id="11" uniqueName="11" name="To" queryTableFieldId="5" dataCellStyle="Comma"/>
    <tableColumn id="12" uniqueName="12" name="Repayment Year" queryTableFieldId="6" dataCellStyle="Comma"/>
    <tableColumn id="13" uniqueName="13" name="Project8" queryTableFieldId="7" dataCellStyle="Comma"/>
    <tableColumn id="14" uniqueName="14" name="Notes" queryTableFieldId="8" dataCellStyle="Comma"/>
    <tableColumn id="15" uniqueName="15" name="Total" queryTableFieldId="9" dataCellStyle="Comma"/>
    <tableColumn id="16" uniqueName="16" name="HURF Exchange" queryTableFieldId="10" dataCellStyle="Comma"/>
    <tableColumn id="17" uniqueName="17" name="HSIP" queryTableFieldId="11" dataCellStyle="Comma"/>
    <tableColumn id="18" uniqueName="18" name="PLAN" queryTableFieldId="12" dataCellStyle="Comma"/>
    <tableColumn id="19" uniqueName="19" name="SPR" queryTableFieldId="13" dataCellStyle="Comma"/>
    <tableColumn id="20" uniqueName="20" name="STP &lt;5" queryTableFieldId="14" dataDxfId="10" dataCellStyle="Comma"/>
    <tableColumn id="21" uniqueName="21" name="STP 5-2" queryTableFieldId="15" dataDxfId="9" dataCellStyle="Comma"/>
    <tableColumn id="22" uniqueName="22" name="STP &gt;200" queryTableFieldId="16" dataDxfId="8" dataCellStyle="Comma"/>
    <tableColumn id="23" uniqueName="23" name="STP Flex" queryTableFieldId="17" dataDxfId="7" dataCellStyle="Comma"/>
    <tableColumn id="24" uniqueName="24" name="TAP &lt;5" queryTableFieldId="18" dataDxfId="6" dataCellStyle="Comma"/>
    <tableColumn id="25" uniqueName="25" name="TAP 5-2" queryTableFieldId="19" dataDxfId="5" dataCellStyle="Comma"/>
    <tableColumn id="26" uniqueName="26" name="TAP &gt;200" queryTableFieldId="20" dataDxfId="4" dataCellStyle="Comma"/>
    <tableColumn id="28" uniqueName="28" name="TAP &gt;201" queryTableFieldId="22" dataDxfId="3" dataCellStyle="Comma"/>
    <tableColumn id="27" uniqueName="27" name="TAP Flex" queryTableFieldId="21" dataDxfId="2"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8:U41" tableType="queryTable" totalsRowShown="0" headerRowDxfId="85" dataDxfId="84" tableBorderDxfId="83" headerRowCellStyle="Comma" dataCellStyle="Comma">
  <autoFilter ref="A28:U41"/>
  <tableColumns count="21">
    <tableColumn id="2" uniqueName="2" name="Transaction Year" queryTableFieldId="1" dataDxfId="31" dataCellStyle="Comma"/>
    <tableColumn id="3" uniqueName="3" name="Transaction Type" queryTableFieldId="2" dataDxfId="30" dataCellStyle="Comma"/>
    <tableColumn id="4" uniqueName="4" name="Number" queryTableFieldId="3" dataDxfId="29" dataCellStyle="Comma"/>
    <tableColumn id="5" uniqueName="5" name="From" queryTableFieldId="4" dataDxfId="28" dataCellStyle="Comma"/>
    <tableColumn id="6" uniqueName="6" name="To" queryTableFieldId="5" dataDxfId="27" dataCellStyle="Comma"/>
    <tableColumn id="7" uniqueName="7" name="Repayment Year" queryTableFieldId="6" dataDxfId="26" dataCellStyle="Comma"/>
    <tableColumn id="8" uniqueName="8" name="Project8" queryTableFieldId="7" dataDxfId="25" dataCellStyle="Comma"/>
    <tableColumn id="9" uniqueName="9" name="Notes" queryTableFieldId="8" dataDxfId="24" dataCellStyle="Comma"/>
    <tableColumn id="10" uniqueName="10" name="Total" queryTableFieldId="9" dataDxfId="23" dataCellStyle="Comma"/>
    <tableColumn id="11" uniqueName="11" name="HURF Exchange" queryTableFieldId="10" dataDxfId="22" dataCellStyle="Comma"/>
    <tableColumn id="12" uniqueName="12" name="HSIP" queryTableFieldId="11" dataDxfId="21" dataCellStyle="Comma"/>
    <tableColumn id="13" uniqueName="13" name="PLAN" queryTableFieldId="12" dataDxfId="20" dataCellStyle="Comma"/>
    <tableColumn id="14" uniqueName="14" name="SPR" queryTableFieldId="13" dataDxfId="19" dataCellStyle="Comma"/>
    <tableColumn id="15" uniqueName="15" name="STP &lt;5" queryTableFieldId="14" dataDxfId="18" dataCellStyle="Comma"/>
    <tableColumn id="16" uniqueName="16" name="STP 5-2" queryTableFieldId="15" dataDxfId="17" dataCellStyle="Comma"/>
    <tableColumn id="17" uniqueName="17" name="STP &gt;200" queryTableFieldId="16" dataDxfId="16" dataCellStyle="Comma"/>
    <tableColumn id="18" uniqueName="18" name="STP Flex" queryTableFieldId="17" dataDxfId="15" dataCellStyle="Comma"/>
    <tableColumn id="19" uniqueName="19" name="TAP &lt;5" queryTableFieldId="18" dataDxfId="14" dataCellStyle="Comma"/>
    <tableColumn id="20" uniqueName="20" name="TAP 5-2" queryTableFieldId="19" dataDxfId="13" dataCellStyle="Comma"/>
    <tableColumn id="21" uniqueName="21" name="TAP &gt;200" queryTableFieldId="20" dataDxfId="12" dataCellStyle="Comma"/>
    <tableColumn id="22" uniqueName="22" name="TAP Flex" queryTableFieldId="21" dataDxfId="1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3"/>
  <sheetViews>
    <sheetView tabSelected="1" topLeftCell="I10" zoomScale="90" zoomScaleNormal="90" zoomScaleSheetLayoutView="90" workbookViewId="0">
      <selection activeCell="AA25" sqref="AA25"/>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23" width="14.7109375" style="35" customWidth="1"/>
    <col min="24" max="24" width="14.7109375" style="33" customWidth="1"/>
    <col min="25" max="26" width="16.7109375" style="33" customWidth="1"/>
    <col min="27" max="27" width="18.7109375" style="33" customWidth="1"/>
    <col min="28" max="16384" width="32" style="33"/>
  </cols>
  <sheetData>
    <row r="1" spans="1:27" ht="23.45" customHeight="1" x14ac:dyDescent="0.25">
      <c r="A1" s="156" t="s">
        <v>98</v>
      </c>
      <c r="B1" s="156"/>
      <c r="C1" s="156"/>
      <c r="D1" s="156"/>
      <c r="E1" s="156"/>
      <c r="F1" s="156"/>
      <c r="K1" s="34"/>
      <c r="M1" s="67"/>
      <c r="N1" s="166" t="s">
        <v>77</v>
      </c>
      <c r="O1" s="166"/>
      <c r="P1" s="166"/>
      <c r="Q1" s="166"/>
      <c r="R1" s="166"/>
      <c r="S1" s="166"/>
      <c r="T1" s="166"/>
      <c r="U1" s="166"/>
      <c r="V1" s="166"/>
      <c r="W1" s="166"/>
      <c r="X1" s="166"/>
      <c r="Y1" s="166"/>
      <c r="Z1" s="166"/>
    </row>
    <row r="2" spans="1:27" ht="16.149999999999999" customHeight="1" x14ac:dyDescent="0.25">
      <c r="M2" s="67"/>
      <c r="N2" s="164" t="s">
        <v>12</v>
      </c>
      <c r="O2" s="165"/>
      <c r="P2" s="165"/>
      <c r="Q2" s="165"/>
      <c r="R2" s="165"/>
      <c r="S2" s="165"/>
      <c r="T2" s="165"/>
      <c r="U2" s="165"/>
      <c r="V2" s="165"/>
      <c r="W2" s="165"/>
      <c r="X2" s="165"/>
      <c r="Y2" s="165"/>
      <c r="Z2" s="165"/>
    </row>
    <row r="3" spans="1:27" ht="27" x14ac:dyDescent="0.25">
      <c r="A3" s="158" t="s">
        <v>80</v>
      </c>
      <c r="B3" s="158"/>
      <c r="C3" s="158"/>
      <c r="D3" s="158"/>
      <c r="E3" s="37"/>
      <c r="F3" s="37"/>
      <c r="G3" s="37"/>
      <c r="M3" s="115" t="s">
        <v>11</v>
      </c>
      <c r="N3" s="141" t="s">
        <v>156</v>
      </c>
      <c r="O3" s="137" t="s">
        <v>60</v>
      </c>
      <c r="P3" s="61" t="s">
        <v>42</v>
      </c>
      <c r="Q3" s="61" t="s">
        <v>55</v>
      </c>
      <c r="R3" s="61" t="s">
        <v>142</v>
      </c>
      <c r="S3" s="61" t="s">
        <v>143</v>
      </c>
      <c r="T3" s="61" t="s">
        <v>93</v>
      </c>
      <c r="U3" s="61" t="s">
        <v>6</v>
      </c>
      <c r="V3" s="61" t="s">
        <v>138</v>
      </c>
      <c r="W3" s="61" t="s">
        <v>139</v>
      </c>
      <c r="X3" s="61" t="s">
        <v>145</v>
      </c>
      <c r="Y3" s="61" t="s">
        <v>94</v>
      </c>
      <c r="Z3" s="123" t="s">
        <v>10</v>
      </c>
      <c r="AA3" s="119" t="s">
        <v>15</v>
      </c>
    </row>
    <row r="4" spans="1:27" ht="27" x14ac:dyDescent="0.25">
      <c r="A4" s="157" t="s">
        <v>206</v>
      </c>
      <c r="B4" s="157"/>
      <c r="C4" s="157"/>
      <c r="D4" s="157"/>
      <c r="E4" s="38"/>
      <c r="F4" s="38"/>
      <c r="G4" s="38"/>
      <c r="M4" s="116" t="s">
        <v>115</v>
      </c>
      <c r="N4" s="124">
        <v>0</v>
      </c>
      <c r="O4" s="138">
        <v>0</v>
      </c>
      <c r="P4" s="107">
        <v>0</v>
      </c>
      <c r="Q4" s="107">
        <v>0</v>
      </c>
      <c r="R4" s="107">
        <v>0</v>
      </c>
      <c r="S4" s="107">
        <v>0</v>
      </c>
      <c r="T4" s="102">
        <f>1249.26</f>
        <v>1249.26</v>
      </c>
      <c r="U4" s="102">
        <v>0</v>
      </c>
      <c r="V4" s="107">
        <v>0</v>
      </c>
      <c r="W4" s="107">
        <v>0</v>
      </c>
      <c r="X4" s="102">
        <f>114.05+525098.57</f>
        <v>525212.62</v>
      </c>
      <c r="Y4" s="102">
        <v>0</v>
      </c>
      <c r="Z4" s="125">
        <f t="shared" ref="Z4:Z12" si="0">SUM(N4:Y4)</f>
        <v>526461.88</v>
      </c>
      <c r="AA4" s="120">
        <v>-38362.86</v>
      </c>
    </row>
    <row r="5" spans="1:27" x14ac:dyDescent="0.25">
      <c r="A5" s="162" t="s">
        <v>113</v>
      </c>
      <c r="B5" s="162"/>
      <c r="C5" s="60">
        <v>43434</v>
      </c>
      <c r="E5" s="149"/>
      <c r="F5" s="149"/>
      <c r="G5" s="149"/>
      <c r="M5" s="150" t="s">
        <v>171</v>
      </c>
      <c r="N5" s="126">
        <v>0</v>
      </c>
      <c r="O5" s="139">
        <v>0</v>
      </c>
      <c r="P5" s="102">
        <v>0</v>
      </c>
      <c r="Q5" s="102">
        <v>0</v>
      </c>
      <c r="R5" s="102">
        <v>0</v>
      </c>
      <c r="S5" s="102">
        <v>0</v>
      </c>
      <c r="T5" s="102">
        <v>2575163</v>
      </c>
      <c r="U5" s="102">
        <v>0</v>
      </c>
      <c r="V5" s="102">
        <v>0</v>
      </c>
      <c r="W5" s="102">
        <v>0</v>
      </c>
      <c r="X5" s="102">
        <v>0</v>
      </c>
      <c r="Y5" s="102">
        <v>0</v>
      </c>
      <c r="Z5" s="125">
        <f t="shared" ref="Z5" si="1">SUM(N5:Y5)</f>
        <v>2575163</v>
      </c>
      <c r="AA5" s="121">
        <f>Table1[[#This Row],[Total]]</f>
        <v>2575163</v>
      </c>
    </row>
    <row r="6" spans="1:27" ht="27" x14ac:dyDescent="0.25">
      <c r="A6" s="162"/>
      <c r="B6" s="162"/>
      <c r="C6" s="60"/>
      <c r="J6" s="68"/>
      <c r="M6" s="117" t="s">
        <v>114</v>
      </c>
      <c r="N6" s="126">
        <v>0</v>
      </c>
      <c r="O6" s="139">
        <v>0</v>
      </c>
      <c r="P6" s="102">
        <v>1024666</v>
      </c>
      <c r="Q6" s="102">
        <f>Notes!D13</f>
        <v>350000</v>
      </c>
      <c r="R6" s="102">
        <v>2112865</v>
      </c>
      <c r="S6" s="102">
        <v>3304738</v>
      </c>
      <c r="T6" s="102">
        <v>14026322</v>
      </c>
      <c r="U6" s="102">
        <v>0</v>
      </c>
      <c r="V6" s="102">
        <v>98801</v>
      </c>
      <c r="W6" s="102">
        <v>72404</v>
      </c>
      <c r="X6" s="102">
        <v>1040787</v>
      </c>
      <c r="Y6" s="102">
        <v>0</v>
      </c>
      <c r="Z6" s="125">
        <f t="shared" si="0"/>
        <v>22030583</v>
      </c>
      <c r="AA6" s="121">
        <f>ROUND(+Table1[[#This Row],[Total]]*0.949,0)</f>
        <v>20907023</v>
      </c>
    </row>
    <row r="7" spans="1:27" x14ac:dyDescent="0.25">
      <c r="M7" s="117" t="s">
        <v>68</v>
      </c>
      <c r="N7" s="126">
        <f>SUMIFS(Table_Query_from_MS_Access_Database[[#All],[HURF Exchange]],Table_Query_from_MS_Access_Database[[#All],[Transaction Year]],"2019",Table_Query_from_MS_Access_Database[[#All],[Transaction Type]],"loan in")</f>
        <v>0</v>
      </c>
      <c r="O7" s="139">
        <f>SUMIFS(Table_Query_from_MS_Access_Database[[#All],[HSIP]],Table_Query_from_MS_Access_Database[[#All],[Transaction Year]],"2019",Table_Query_from_MS_Access_Database[[#All],[Transaction Type]],"loan in")</f>
        <v>0</v>
      </c>
      <c r="P7" s="102">
        <f>SUMIFS(Table_Query_from_MS_Access_Database[[#All],[PLAN]],Table_Query_from_MS_Access_Database[[#All],[Transaction Year]],"2019",Table_Query_from_MS_Access_Database[[#All],[Transaction Type]],"loan in")</f>
        <v>0</v>
      </c>
      <c r="Q7" s="102">
        <f>SUMIFS(Table_Query_from_MS_Access_Database[[#All],[SPR]],Table_Query_from_MS_Access_Database[[#All],[Transaction Year]],"2019",Table_Query_from_MS_Access_Database[[#All],[Transaction Type]],"loan in")</f>
        <v>0</v>
      </c>
      <c r="R7" s="102">
        <f>SUMIFS(Table_Query_from_MS_Access_Database[[#All],[STP &lt;5]],Table_Query_from_MS_Access_Database[[#All],[Transaction Year]],"2019",Table_Query_from_MS_Access_Database[[#All],[Transaction Type]],"loan in")</f>
        <v>0</v>
      </c>
      <c r="S7" s="102">
        <f>SUMIFS(Table_Query_from_MS_Access_Database[[#All],[STP 5-2]],Table_Query_from_MS_Access_Database[[#All],[Transaction Year]],"2019",Table_Query_from_MS_Access_Database[[#All],[Transaction Type]],"loan in")</f>
        <v>0</v>
      </c>
      <c r="T7" s="102">
        <f>SUMIFS(Table_Query_from_MS_Access_Database[[#All],[STP &gt;200]],Table_Query_from_MS_Access_Database[[#All],[Transaction Year]],"2019",Table_Query_from_MS_Access_Database[[#All],[Transaction Type]],"loan in")</f>
        <v>0</v>
      </c>
      <c r="U7" s="102">
        <f>SUMIFS(Table_Query_from_MS_Access_Database[[#All],[STP Flex]],Table_Query_from_MS_Access_Database[[#All],[Transaction Year]],"2019",Table_Query_from_MS_Access_Database[[#All],[Transaction Type]],"loan in")</f>
        <v>0</v>
      </c>
      <c r="V7" s="102">
        <f>SUMIFS(Table_Query_from_MS_Access_Database[[#All],[TAP &lt;5]],Table_Query_from_MS_Access_Database[[#All],[Transaction Year]],"2019",Table_Query_from_MS_Access_Database[[#All],[Transaction Type]],"loan in")</f>
        <v>0</v>
      </c>
      <c r="W7" s="102">
        <f>SUMIFS(Table_Query_from_MS_Access_Database[[#All],[TAP 5-2]],Table_Query_from_MS_Access_Database[[#All],[Transaction Year]],"2019",Table_Query_from_MS_Access_Database[[#All],[Transaction Type]],"loan in")</f>
        <v>0</v>
      </c>
      <c r="X7" s="102">
        <f>SUMIFS(Table_Query_from_MS_Access_Database[[#All],[TAP &gt;200]],Table_Query_from_MS_Access_Database[[#All],[Transaction Year]],"2019",Table_Query_from_MS_Access_Database[[#All],[Transaction Type]],"loan in")</f>
        <v>0</v>
      </c>
      <c r="Y7" s="102">
        <f>SUMIFS(Table_Query_from_MS_Access_Database[[#All],[TAP &gt;200]],Table_Query_from_MS_Access_Database[[#All],[Transaction Year]],"2019",Table_Query_from_MS_Access_Database[[#All],[Transaction Type]],"loan in")</f>
        <v>0</v>
      </c>
      <c r="Z7" s="125">
        <f t="shared" si="0"/>
        <v>0</v>
      </c>
      <c r="AA7" s="121">
        <f>SUMIFS(Table_Query_from_MS_Access_Database_16[[#All],[Total]],Table_Query_from_MS_Access_Database_16[[#All],[Transaction Year]],"2019",Table_Query_from_MS_Access_Database_16[[#All],[Transaction Type]],"Loan In")</f>
        <v>0</v>
      </c>
    </row>
    <row r="8" spans="1:27" x14ac:dyDescent="0.25">
      <c r="A8" s="40"/>
      <c r="M8" s="117" t="s">
        <v>69</v>
      </c>
      <c r="N8" s="126">
        <f>SUMIFS(Table_Query_from_MS_Access_Database[[#All],[HURF Exchange]],Table_Query_from_MS_Access_Database[[#All],[Transaction Year]],"2019",Table_Query_from_MS_Access_Database[[#All],[Transaction Type]],"loan Out")</f>
        <v>0</v>
      </c>
      <c r="O8" s="139">
        <f>SUMIFS(Table_Query_from_MS_Access_Database[[#All],[HSIP]],Table_Query_from_MS_Access_Database[[#All],[Transaction Year]],"2019",Table_Query_from_MS_Access_Database[[#All],[Transaction Type]],"loan Out")</f>
        <v>0</v>
      </c>
      <c r="P8" s="102">
        <f>SUMIFS(Table_Query_from_MS_Access_Database[[#All],[PLAN]],Table_Query_from_MS_Access_Database[[#All],[Transaction Year]],"2019",Table_Query_from_MS_Access_Database[[#All],[Transaction Type]],"loan Out")</f>
        <v>0</v>
      </c>
      <c r="Q8" s="102">
        <f>SUMIFS(Table_Query_from_MS_Access_Database[[#All],[SPR]],Table_Query_from_MS_Access_Database[[#All],[Transaction Year]],"2019",Table_Query_from_MS_Access_Database[[#All],[Transaction Type]],"loan Out")</f>
        <v>0</v>
      </c>
      <c r="R8" s="102">
        <f>SUMIFS(Table_Query_from_MS_Access_Database[[#All],[STP &lt;5]],Table_Query_from_MS_Access_Database[[#All],[Transaction Year]],"2019",Table_Query_from_MS_Access_Database[[#All],[Transaction Type]],"loan Out")</f>
        <v>0</v>
      </c>
      <c r="S8" s="102">
        <f>SUMIFS(Table_Query_from_MS_Access_Database[[#All],[STP 5-2]],Table_Query_from_MS_Access_Database[[#All],[Transaction Year]],"2019",Table_Query_from_MS_Access_Database[[#All],[Transaction Type]],"loan Out")</f>
        <v>0</v>
      </c>
      <c r="T8" s="102">
        <f>SUMIFS(Table_Query_from_MS_Access_Database[[#All],[STP &gt;200]],Table_Query_from_MS_Access_Database[[#All],[Transaction Year]],"2019",Table_Query_from_MS_Access_Database[[#All],[Transaction Type]],"loan Out")</f>
        <v>0</v>
      </c>
      <c r="U8" s="102">
        <f>SUMIFS(Table_Query_from_MS_Access_Database[[#All],[STP Flex]],Table_Query_from_MS_Access_Database[[#All],[Transaction Year]],"2019",Table_Query_from_MS_Access_Database[[#All],[Transaction Type]],"loan Out")</f>
        <v>0</v>
      </c>
      <c r="V8" s="102">
        <f>SUMIFS(Table_Query_from_MS_Access_Database[[#All],[TAP &lt;5]],Table_Query_from_MS_Access_Database[[#All],[Transaction Year]],"2019",Table_Query_from_MS_Access_Database[[#All],[Transaction Type]],"loan Out")</f>
        <v>0</v>
      </c>
      <c r="W8" s="102">
        <f>SUMIFS(Table_Query_from_MS_Access_Database[[#All],[TAP 5-2]],Table_Query_from_MS_Access_Database[[#All],[Transaction Year]],"2019",Table_Query_from_MS_Access_Database[[#All],[Transaction Type]],"loan Out")</f>
        <v>0</v>
      </c>
      <c r="X8" s="102">
        <f>SUMIFS(Table_Query_from_MS_Access_Database[[#All],[TAP &gt;200]],Table_Query_from_MS_Access_Database[[#All],[Transaction Year]],"2019",Table_Query_from_MS_Access_Database[[#All],[Transaction Type]],"loan Out")</f>
        <v>0</v>
      </c>
      <c r="Y8" s="102">
        <f>SUMIFS(Table_Query_from_MS_Access_Database[[#All],[TAP &gt;200]],Table_Query_from_MS_Access_Database[[#All],[Transaction Year]],"2019",Table_Query_from_MS_Access_Database[[#All],[Transaction Type]],"loan Out")</f>
        <v>0</v>
      </c>
      <c r="Z8" s="125">
        <f t="shared" si="0"/>
        <v>0</v>
      </c>
      <c r="AA8" s="121">
        <f>SUMIFS(Table_Query_from_MS_Access_Database_16[[#All],[Total]],Table_Query_from_MS_Access_Database_16[[#All],[Transaction Year]],"2019",Table_Query_from_MS_Access_Database_16[[#All],[Transaction Type]],"Loan Out")</f>
        <v>0</v>
      </c>
    </row>
    <row r="9" spans="1:27" x14ac:dyDescent="0.25">
      <c r="M9" s="116" t="s">
        <v>70</v>
      </c>
      <c r="N9" s="126">
        <f>SUMIFS(Table_Query_from_MS_Access_Database[[#All],[HURF Exchange]],Table_Query_from_MS_Access_Database[[#All],[Transaction Year]],"2019",Table_Query_from_MS_Access_Database[[#All],[Transaction Type]],"repayment in")</f>
        <v>0</v>
      </c>
      <c r="O9" s="139">
        <f>SUMIFS(Table_Query_from_MS_Access_Database[[#All],[HSIP]],Table_Query_from_MS_Access_Database[[#All],[Transaction Year]],"2019",Table_Query_from_MS_Access_Database[[#All],[Transaction Type]],"repayment in")</f>
        <v>0</v>
      </c>
      <c r="P9" s="102">
        <f>SUMIFS(Table_Query_from_MS_Access_Database[[#All],[PLAN]],Table_Query_from_MS_Access_Database[[#All],[Transaction Year]],"2019",Table_Query_from_MS_Access_Database[[#All],[Transaction Type]],"repayment in")</f>
        <v>0</v>
      </c>
      <c r="Q9" s="102">
        <f>SUMIFS(Table_Query_from_MS_Access_Database[[#All],[SPR]],Table_Query_from_MS_Access_Database[[#All],[Transaction Year]],"2019",Table_Query_from_MS_Access_Database[[#All],[Transaction Type]],"repayment in")</f>
        <v>0</v>
      </c>
      <c r="R9" s="102">
        <f>SUMIFS(Table_Query_from_MS_Access_Database[[#All],[STP &lt;5]],Table_Query_from_MS_Access_Database[[#All],[Transaction Year]],"2019",Table_Query_from_MS_Access_Database[[#All],[Transaction Type]],"repayment in")</f>
        <v>0</v>
      </c>
      <c r="S9" s="102">
        <f>SUMIFS(Table_Query_from_MS_Access_Database[[#All],[STP 5-2]],Table_Query_from_MS_Access_Database[[#All],[Transaction Year]],"2019",Table_Query_from_MS_Access_Database[[#All],[Transaction Type]],"repayment in")</f>
        <v>0</v>
      </c>
      <c r="T9" s="102">
        <f>SUMIFS(Table_Query_from_MS_Access_Database[[#All],[STP &gt;200]],Table_Query_from_MS_Access_Database[[#All],[Transaction Year]],"2019",Table_Query_from_MS_Access_Database[[#All],[Transaction Type]],"repayment in")</f>
        <v>0</v>
      </c>
      <c r="U9" s="102">
        <f>SUMIFS(Table_Query_from_MS_Access_Database[[#All],[STP Flex]],Table_Query_from_MS_Access_Database[[#All],[Transaction Year]],"2019",Table_Query_from_MS_Access_Database[[#All],[Transaction Type]],"repayment in")</f>
        <v>0</v>
      </c>
      <c r="V9" s="102">
        <f>SUMIFS(Table_Query_from_MS_Access_Database[[#All],[TAP &lt;5]],Table_Query_from_MS_Access_Database[[#All],[Transaction Year]],"2019",Table_Query_from_MS_Access_Database[[#All],[Transaction Type]],"repayment in")</f>
        <v>0</v>
      </c>
      <c r="W9" s="102">
        <f>SUMIFS(Table_Query_from_MS_Access_Database[[#All],[TAP 5-2]],Table_Query_from_MS_Access_Database[[#All],[Transaction Year]],"2019",Table_Query_from_MS_Access_Database[[#All],[Transaction Type]],"repayment in")</f>
        <v>0</v>
      </c>
      <c r="X9" s="102">
        <f>SUMIFS(Table_Query_from_MS_Access_Database[[#All],[TAP &gt;200]],Table_Query_from_MS_Access_Database[[#All],[Transaction Year]],"2019",Table_Query_from_MS_Access_Database[[#All],[Transaction Type]],"repayment in")</f>
        <v>0</v>
      </c>
      <c r="Y9" s="102">
        <f>SUMIFS(Table_Query_from_MS_Access_Database[[#All],[TAP &gt;200]],Table_Query_from_MS_Access_Database[[#All],[Transaction Year]],"2019",Table_Query_from_MS_Access_Database[[#All],[Transaction Type]],"repayment in")</f>
        <v>0</v>
      </c>
      <c r="Z9" s="125">
        <f t="shared" si="0"/>
        <v>0</v>
      </c>
      <c r="AA9" s="121">
        <f>SUMIFS(Table_Query_from_MS_Access_Database_16[[#All],[Total]],Table_Query_from_MS_Access_Database_16[[#All],[Transaction Year]],"2019",Table_Query_from_MS_Access_Database_16[[#All],[Transaction Type]],"repayment In")</f>
        <v>0</v>
      </c>
    </row>
    <row r="10" spans="1:27" x14ac:dyDescent="0.25">
      <c r="A10" s="157" t="s">
        <v>86</v>
      </c>
      <c r="B10" s="157"/>
      <c r="C10" s="157"/>
      <c r="D10" s="157"/>
      <c r="E10" s="157"/>
      <c r="F10" s="157"/>
      <c r="G10" s="157"/>
      <c r="H10" s="157"/>
      <c r="I10" s="157"/>
      <c r="J10" s="157"/>
      <c r="K10" s="157"/>
      <c r="L10" s="157"/>
      <c r="M10" s="117" t="s">
        <v>71</v>
      </c>
      <c r="N10" s="126">
        <f>SUMIFS(Table_Query_from_MS_Access_Database[[#All],[HURF Exchange]],Table_Query_from_MS_Access_Database[[#All],[Transaction Year]],"2019",Table_Query_from_MS_Access_Database[[#All],[Transaction Type]],"repayment Out")</f>
        <v>0</v>
      </c>
      <c r="O10" s="139">
        <f>SUMIFS(Table_Query_from_MS_Access_Database[[#All],[HSIP]],Table_Query_from_MS_Access_Database[[#All],[Transaction Year]],"2019",Table_Query_from_MS_Access_Database[[#All],[Transaction Type]],"repayment Out")</f>
        <v>0</v>
      </c>
      <c r="P10" s="102">
        <f>SUMIFS(Table_Query_from_MS_Access_Database[[#All],[PLAN]],Table_Query_from_MS_Access_Database[[#All],[Transaction Year]],"2019",Table_Query_from_MS_Access_Database[[#All],[Transaction Type]],"repayment Out")</f>
        <v>0</v>
      </c>
      <c r="Q10" s="102">
        <f>SUMIFS(Table_Query_from_MS_Access_Database[[#All],[SPR]],Table_Query_from_MS_Access_Database[[#All],[Transaction Year]],"2019",Table_Query_from_MS_Access_Database[[#All],[Transaction Type]],"repayment Out")</f>
        <v>0</v>
      </c>
      <c r="R10" s="102">
        <f>SUMIFS(Table_Query_from_MS_Access_Database[[#All],[STP &lt;5]],Table_Query_from_MS_Access_Database[[#All],[Transaction Year]],"2019",Table_Query_from_MS_Access_Database[[#All],[Transaction Type]],"repayment Out")</f>
        <v>0</v>
      </c>
      <c r="S10" s="102">
        <f>SUMIFS(Table_Query_from_MS_Access_Database[[#All],[STP 5-2]],Table_Query_from_MS_Access_Database[[#All],[Transaction Year]],"2019",Table_Query_from_MS_Access_Database[[#All],[Transaction Type]],"repayment Out")</f>
        <v>0</v>
      </c>
      <c r="T10" s="102">
        <f>SUMIFS(Table_Query_from_MS_Access_Database[[#All],[STP &gt;200]],Table_Query_from_MS_Access_Database[[#All],[Transaction Year]],"2019",Table_Query_from_MS_Access_Database[[#All],[Transaction Type]],"repayment Out")</f>
        <v>0</v>
      </c>
      <c r="U10" s="102">
        <f>SUMIFS(Table_Query_from_MS_Access_Database[[#All],[STP Flex]],Table_Query_from_MS_Access_Database[[#All],[Transaction Year]],"2019",Table_Query_from_MS_Access_Database[[#All],[Transaction Type]],"repayment Out")</f>
        <v>0</v>
      </c>
      <c r="V10" s="102">
        <f>SUMIFS(Table_Query_from_MS_Access_Database[[#All],[TAP &lt;5]],Table_Query_from_MS_Access_Database[[#All],[Transaction Year]],"2019",Table_Query_from_MS_Access_Database[[#All],[Transaction Type]],"repayment Out")</f>
        <v>0</v>
      </c>
      <c r="W10" s="102">
        <f>SUMIFS(Table_Query_from_MS_Access_Database[[#All],[TAP 5-2]],Table_Query_from_MS_Access_Database[[#All],[Transaction Year]],"2019",Table_Query_from_MS_Access_Database[[#All],[Transaction Type]],"repayment Out")</f>
        <v>0</v>
      </c>
      <c r="X10" s="102">
        <f>SUMIFS(Table_Query_from_MS_Access_Database[[#All],[TAP &gt;200]],Table_Query_from_MS_Access_Database[[#All],[Transaction Year]],"2019",Table_Query_from_MS_Access_Database[[#All],[Transaction Type]],"repayment Out")</f>
        <v>0</v>
      </c>
      <c r="Y10" s="102">
        <f>SUMIFS(Table_Query_from_MS_Access_Database[[#All],[TAP &gt;200]],Table_Query_from_MS_Access_Database[[#All],[Transaction Year]],"2019",Table_Query_from_MS_Access_Database[[#All],[Transaction Type]],"repayment Out")</f>
        <v>0</v>
      </c>
      <c r="Z10" s="125">
        <f t="shared" si="0"/>
        <v>0</v>
      </c>
      <c r="AA10" s="121">
        <f>SUMIFS(Table_Query_from_MS_Access_Database_16[[#All],[Total]],Table_Query_from_MS_Access_Database_16[[#All],[Transaction Year]],"2019",Table_Query_from_MS_Access_Database_16[[#All],[Transaction Type]],"Repayment Out")</f>
        <v>0</v>
      </c>
    </row>
    <row r="11" spans="1:27" x14ac:dyDescent="0.25">
      <c r="M11" s="117" t="s">
        <v>72</v>
      </c>
      <c r="N11" s="126">
        <f>SUMIFS(Table_Query_from_MS_Access_Database[[#All],[HURF Exchange]],Table_Query_from_MS_Access_Database[[#All],[Transaction Year]],"2019",Table_Query_from_MS_Access_Database[[#All],[Transaction Type]],"Transfer in")</f>
        <v>0</v>
      </c>
      <c r="O11" s="139">
        <f>SUMIFS(Table_Query_from_MS_Access_Database[[#All],[HSIP]],Table_Query_from_MS_Access_Database[[#All],[Transaction Year]],"2019",Table_Query_from_MS_Access_Database[[#All],[Transaction Type]],"Transfer in")</f>
        <v>0</v>
      </c>
      <c r="P11" s="102">
        <f>SUMIFS(Table_Query_from_MS_Access_Database[[#All],[PLAN]],Table_Query_from_MS_Access_Database[[#All],[Transaction Year]],"2019",Table_Query_from_MS_Access_Database[[#All],[Transaction Type]],"Transfer in")</f>
        <v>0</v>
      </c>
      <c r="Q11" s="102">
        <f>SUMIFS(Table_Query_from_MS_Access_Database[[#All],[SPR]],Table_Query_from_MS_Access_Database[[#All],[Transaction Year]],"2019",Table_Query_from_MS_Access_Database[[#All],[Transaction Type]],"Transfer in")</f>
        <v>0</v>
      </c>
      <c r="R11" s="102">
        <f>SUMIFS(Table_Query_from_MS_Access_Database[[#All],[STP &lt;5]],Table_Query_from_MS_Access_Database[[#All],[Transaction Year]],"2019",Table_Query_from_MS_Access_Database[[#All],[Transaction Type]],"Transfer in")</f>
        <v>0</v>
      </c>
      <c r="S11" s="102">
        <f>SUMIFS(Table_Query_from_MS_Access_Database[[#All],[STP 5-2]],Table_Query_from_MS_Access_Database[[#All],[Transaction Year]],"2019",Table_Query_from_MS_Access_Database[[#All],[Transaction Type]],"Transfer in")</f>
        <v>0</v>
      </c>
      <c r="T11" s="102">
        <f>SUMIFS(Table_Query_from_MS_Access_Database[[#All],[STP &gt;200]],Table_Query_from_MS_Access_Database[[#All],[Transaction Year]],"2019",Table_Query_from_MS_Access_Database[[#All],[Transaction Type]],"Transfer in")</f>
        <v>0</v>
      </c>
      <c r="U11" s="102">
        <f>SUMIFS(Table_Query_from_MS_Access_Database[[#All],[STP Flex]],Table_Query_from_MS_Access_Database[[#All],[Transaction Year]],"2019",Table_Query_from_MS_Access_Database[[#All],[Transaction Type]],"Transfer in")</f>
        <v>0</v>
      </c>
      <c r="V11" s="102">
        <f>SUMIFS(Table_Query_from_MS_Access_Database[[#All],[TAP &lt;5]],Table_Query_from_MS_Access_Database[[#All],[Transaction Year]],"2019",Table_Query_from_MS_Access_Database[[#All],[Transaction Type]],"Transfer in")</f>
        <v>0</v>
      </c>
      <c r="W11" s="102">
        <f>SUMIFS(Table_Query_from_MS_Access_Database[[#All],[TAP 5-2]],Table_Query_from_MS_Access_Database[[#All],[Transaction Year]],"2019",Table_Query_from_MS_Access_Database[[#All],[Transaction Type]],"Transfer in")</f>
        <v>0</v>
      </c>
      <c r="X11" s="102">
        <f>SUMIFS(Table_Query_from_MS_Access_Database[[#All],[TAP &gt;200]],Table_Query_from_MS_Access_Database[[#All],[Transaction Year]],"2019",Table_Query_from_MS_Access_Database[[#All],[Transaction Type]],"Transfer in")</f>
        <v>0</v>
      </c>
      <c r="Y11" s="102">
        <f>SUMIFS(Table_Query_from_MS_Access_Database[[#All],[TAP &gt;200]],Table_Query_from_MS_Access_Database[[#All],[Transaction Year]],"2019",Table_Query_from_MS_Access_Database[[#All],[Transaction Type]],"Transfer in")</f>
        <v>0</v>
      </c>
      <c r="Z11" s="125">
        <f t="shared" si="0"/>
        <v>0</v>
      </c>
      <c r="AA11" s="121">
        <f>SUMIFS(Table_Query_from_MS_Access_Database_16[[#All],[Total]],Table_Query_from_MS_Access_Database_16[[#All],[Transaction Year]],"2019",Table_Query_from_MS_Access_Database_16[[#All],[Transaction Type]],"Transfer In")</f>
        <v>0</v>
      </c>
    </row>
    <row r="12" spans="1:27" ht="17.25" thickBot="1" x14ac:dyDescent="0.3">
      <c r="F12" s="41"/>
      <c r="G12" s="41"/>
      <c r="M12" s="117" t="s">
        <v>73</v>
      </c>
      <c r="N12" s="126">
        <f>SUMIFS(Table_Query_from_MS_Access_Database[[#All],[HURF Exchange]],Table_Query_from_MS_Access_Database[[#All],[Transaction Year]],"2019",Table_Query_from_MS_Access_Database[[#All],[Transaction Type]],"Transfer Out")</f>
        <v>0</v>
      </c>
      <c r="O12" s="139">
        <f>SUMIFS(Table_Query_from_MS_Access_Database[[#All],[HSIP]],Table_Query_from_MS_Access_Database[[#All],[Transaction Year]],"2019",Table_Query_from_MS_Access_Database[[#All],[Transaction Type]],"Transfer Out")</f>
        <v>0</v>
      </c>
      <c r="P12" s="102">
        <f>SUMIFS(Table_Query_from_MS_Access_Database[[#All],[PLAN]],Table_Query_from_MS_Access_Database[[#All],[Transaction Year]],"2019",Table_Query_from_MS_Access_Database[[#All],[Transaction Type]],"Transfer Out")</f>
        <v>0</v>
      </c>
      <c r="Q12" s="102">
        <f>SUMIFS(Table_Query_from_MS_Access_Database[[#All],[SPR]],Table_Query_from_MS_Access_Database[[#All],[Transaction Year]],"2019",Table_Query_from_MS_Access_Database[[#All],[Transaction Type]],"Transfer Out")</f>
        <v>0</v>
      </c>
      <c r="R12" s="102">
        <f>SUMIFS(Table_Query_from_MS_Access_Database[[#All],[STP &lt;5]],Table_Query_from_MS_Access_Database[[#All],[Transaction Year]],"2019",Table_Query_from_MS_Access_Database[[#All],[Transaction Type]],"Transfer Out")</f>
        <v>0</v>
      </c>
      <c r="S12" s="102">
        <f>SUMIFS(Table_Query_from_MS_Access_Database[[#All],[STP 5-2]],Table_Query_from_MS_Access_Database[[#All],[Transaction Year]],"2019",Table_Query_from_MS_Access_Database[[#All],[Transaction Type]],"Transfer Out")</f>
        <v>0</v>
      </c>
      <c r="T12" s="102">
        <f>SUMIFS(Table_Query_from_MS_Access_Database[[#All],[STP &gt;200]],Table_Query_from_MS_Access_Database[[#All],[Transaction Year]],"2019",Table_Query_from_MS_Access_Database[[#All],[Transaction Type]],"Transfer Out")</f>
        <v>0</v>
      </c>
      <c r="U12" s="102">
        <f>SUMIFS(Table_Query_from_MS_Access_Database[[#All],[STP Flex]],Table_Query_from_MS_Access_Database[[#All],[Transaction Year]],"2019",Table_Query_from_MS_Access_Database[[#All],[Transaction Type]],"Transfer Out")</f>
        <v>0</v>
      </c>
      <c r="V12" s="102">
        <f>SUMIFS(Table_Query_from_MS_Access_Database[[#All],[TAP &lt;5]],Table_Query_from_MS_Access_Database[[#All],[Transaction Year]],"2019",Table_Query_from_MS_Access_Database[[#All],[Transaction Type]],"Transfer Out")</f>
        <v>0</v>
      </c>
      <c r="W12" s="102">
        <f>SUMIFS(Table_Query_from_MS_Access_Database[[#All],[TAP 5-2]],Table_Query_from_MS_Access_Database[[#All],[Transaction Year]],"2019",Table_Query_from_MS_Access_Database[[#All],[Transaction Type]],"Transfer Out")</f>
        <v>0</v>
      </c>
      <c r="X12" s="102">
        <f>SUMIFS(Table_Query_from_MS_Access_Database[[#All],[TAP &gt;200]],Table_Query_from_MS_Access_Database[[#All],[Transaction Year]],"2019",Table_Query_from_MS_Access_Database[[#All],[Transaction Type]],"Transfer Out")</f>
        <v>0</v>
      </c>
      <c r="Y12" s="102">
        <f>SUMIFS(Table_Query_from_MS_Access_Database[[#All],[TAP &gt;200]],Table_Query_from_MS_Access_Database[[#All],[Transaction Year]],"2019",Table_Query_from_MS_Access_Database[[#All],[Transaction Type]],"Transfer Out")</f>
        <v>0</v>
      </c>
      <c r="Z12" s="125">
        <f t="shared" si="0"/>
        <v>0</v>
      </c>
      <c r="AA12" s="121">
        <f>SUMIFS(Table_Query_from_MS_Access_Database_16[[#All],[Total]],Table_Query_from_MS_Access_Database_16[[#All],[Transaction Year]],"2019",Table_Query_from_MS_Access_Database_16[[#All],[Transaction Type]],"Transfer Out")</f>
        <v>0</v>
      </c>
    </row>
    <row r="13" spans="1:27" ht="27.75" thickBot="1" x14ac:dyDescent="0.3">
      <c r="M13" s="118" t="s">
        <v>87</v>
      </c>
      <c r="N13" s="127">
        <f t="shared" ref="N13" si="2">SUM(N4:N12)</f>
        <v>0</v>
      </c>
      <c r="O13" s="140">
        <f t="shared" ref="O13:AA13" si="3">SUM(O4:O12)</f>
        <v>0</v>
      </c>
      <c r="P13" s="108">
        <f t="shared" si="3"/>
        <v>1024666</v>
      </c>
      <c r="Q13" s="108">
        <f t="shared" si="3"/>
        <v>350000</v>
      </c>
      <c r="R13" s="108">
        <f t="shared" si="3"/>
        <v>2112865</v>
      </c>
      <c r="S13" s="108">
        <f t="shared" si="3"/>
        <v>3304738</v>
      </c>
      <c r="T13" s="108">
        <f t="shared" si="3"/>
        <v>16602734.26</v>
      </c>
      <c r="U13" s="108">
        <f t="shared" si="3"/>
        <v>0</v>
      </c>
      <c r="V13" s="108">
        <f t="shared" si="3"/>
        <v>98801</v>
      </c>
      <c r="W13" s="108">
        <f t="shared" si="3"/>
        <v>72404</v>
      </c>
      <c r="X13" s="108">
        <f t="shared" si="3"/>
        <v>1565999.62</v>
      </c>
      <c r="Y13" s="108">
        <f t="shared" si="3"/>
        <v>0</v>
      </c>
      <c r="Z13" s="108">
        <f t="shared" si="3"/>
        <v>25132207.879999999</v>
      </c>
      <c r="AA13" s="122">
        <f t="shared" si="3"/>
        <v>23443823.140000001</v>
      </c>
    </row>
    <row r="14" spans="1:27" x14ac:dyDescent="0.25">
      <c r="N14" s="42"/>
      <c r="O14" s="43"/>
      <c r="P14" s="43"/>
      <c r="Q14" s="43"/>
      <c r="R14" s="43"/>
      <c r="S14" s="43"/>
      <c r="T14" s="39"/>
      <c r="V14" s="69"/>
      <c r="X14" s="36"/>
    </row>
    <row r="15" spans="1:27" ht="17.25" x14ac:dyDescent="0.25">
      <c r="A15" s="154" t="s">
        <v>61</v>
      </c>
      <c r="B15" s="154"/>
      <c r="C15" s="154"/>
      <c r="D15" s="154"/>
      <c r="J15" s="159" t="s">
        <v>62</v>
      </c>
      <c r="K15" s="160"/>
      <c r="L15" s="160"/>
      <c r="M15" s="161"/>
      <c r="N15" s="44"/>
      <c r="R15" s="45"/>
      <c r="S15" s="45"/>
      <c r="T15" s="45"/>
      <c r="U15" s="45"/>
      <c r="V15" s="69"/>
      <c r="W15" s="70"/>
      <c r="X15" s="36"/>
    </row>
    <row r="16" spans="1:27" s="49" customFormat="1" ht="27" x14ac:dyDescent="0.25">
      <c r="A16" s="79" t="s">
        <v>1</v>
      </c>
      <c r="B16" s="79" t="s">
        <v>0</v>
      </c>
      <c r="C16" s="79" t="s">
        <v>3</v>
      </c>
      <c r="D16" s="78" t="s">
        <v>83</v>
      </c>
      <c r="E16" s="78" t="s">
        <v>2</v>
      </c>
      <c r="F16" s="78" t="s">
        <v>46</v>
      </c>
      <c r="G16" s="78" t="s">
        <v>47</v>
      </c>
      <c r="H16" s="78" t="s">
        <v>48</v>
      </c>
      <c r="I16" s="78" t="s">
        <v>144</v>
      </c>
      <c r="J16" s="78" t="s">
        <v>49</v>
      </c>
      <c r="K16" s="78" t="s">
        <v>50</v>
      </c>
      <c r="L16" s="78" t="s">
        <v>51</v>
      </c>
      <c r="M16" s="78" t="s">
        <v>52</v>
      </c>
      <c r="N16" s="78" t="s">
        <v>156</v>
      </c>
      <c r="O16" s="78" t="s">
        <v>4</v>
      </c>
      <c r="P16" s="78" t="s">
        <v>42</v>
      </c>
      <c r="Q16" s="78" t="s">
        <v>5</v>
      </c>
      <c r="R16" s="78" t="s">
        <v>142</v>
      </c>
      <c r="S16" s="78" t="s">
        <v>164</v>
      </c>
      <c r="T16" s="78" t="s">
        <v>93</v>
      </c>
      <c r="U16" s="78" t="s">
        <v>53</v>
      </c>
      <c r="V16" s="78" t="s">
        <v>138</v>
      </c>
      <c r="W16" s="78" t="s">
        <v>139</v>
      </c>
      <c r="X16" s="78" t="s">
        <v>145</v>
      </c>
      <c r="Y16" s="78" t="s">
        <v>141</v>
      </c>
      <c r="Z16" s="78" t="s">
        <v>85</v>
      </c>
      <c r="AA16" s="78" t="s">
        <v>92</v>
      </c>
    </row>
    <row r="17" spans="1:27" s="49" customFormat="1" ht="13.5" x14ac:dyDescent="0.25">
      <c r="A17" s="144" t="s">
        <v>179</v>
      </c>
      <c r="B17" s="144" t="s">
        <v>166</v>
      </c>
      <c r="C17" s="144" t="s">
        <v>101</v>
      </c>
      <c r="D17" s="144" t="s">
        <v>22</v>
      </c>
      <c r="E17" s="144" t="s">
        <v>180</v>
      </c>
      <c r="F17" s="142" t="s">
        <v>148</v>
      </c>
      <c r="G17" s="142" t="s">
        <v>150</v>
      </c>
      <c r="H17" s="142" t="s">
        <v>169</v>
      </c>
      <c r="I17" s="143" t="str">
        <f>CONCATENATE(Table_Query_from_MS_Access_Database4[RTE],Table_Query_from_MS_Access_Database4[SEC],Table_Query_from_MS_Access_Database4[SEQ])</f>
        <v>PCAN019</v>
      </c>
      <c r="J17" s="145">
        <v>43374</v>
      </c>
      <c r="K17" s="145">
        <v>43390</v>
      </c>
      <c r="L17" s="145">
        <v>43390</v>
      </c>
      <c r="M17" s="145">
        <v>43395</v>
      </c>
      <c r="N17" s="147"/>
      <c r="O17" s="147"/>
      <c r="P17" s="147"/>
      <c r="Q17" s="147"/>
      <c r="R17" s="147"/>
      <c r="S17" s="147"/>
      <c r="T17" s="131">
        <v>200000</v>
      </c>
      <c r="U17" s="147"/>
      <c r="V17" s="147"/>
      <c r="W17" s="147"/>
      <c r="X17" s="147"/>
      <c r="Y17" s="147"/>
      <c r="Z17" s="136">
        <f>SUM(Table_Query_from_MS_Access_Database4[[#This Row],[HURF EX]:[TAP Other]])</f>
        <v>200000</v>
      </c>
      <c r="AA17" s="136">
        <f>AA13-Table_Query_from_MS_Access_Database4[TOTAL OF AMOUNT]</f>
        <v>23243823.140000001</v>
      </c>
    </row>
    <row r="18" spans="1:27" s="49" customFormat="1" ht="13.5" x14ac:dyDescent="0.25">
      <c r="A18" s="100" t="s">
        <v>167</v>
      </c>
      <c r="B18" s="100" t="s">
        <v>166</v>
      </c>
      <c r="C18" s="100" t="s">
        <v>101</v>
      </c>
      <c r="D18" s="100" t="s">
        <v>22</v>
      </c>
      <c r="E18" s="100" t="s">
        <v>168</v>
      </c>
      <c r="F18" s="151" t="s">
        <v>148</v>
      </c>
      <c r="G18" s="151" t="s">
        <v>149</v>
      </c>
      <c r="H18" s="151" t="s">
        <v>169</v>
      </c>
      <c r="I18" s="79" t="str">
        <f>CONCATENATE(Table_Query_from_MS_Access_Database4[RTE],Table_Query_from_MS_Access_Database4[SEC],Table_Query_from_MS_Access_Database4[SEQ])</f>
        <v>PCAT019</v>
      </c>
      <c r="J18" s="129">
        <v>43374</v>
      </c>
      <c r="K18" s="129">
        <v>43390</v>
      </c>
      <c r="L18" s="129">
        <v>43390</v>
      </c>
      <c r="M18" s="129">
        <v>43395</v>
      </c>
      <c r="N18" s="131"/>
      <c r="O18" s="131"/>
      <c r="P18" s="131"/>
      <c r="Q18" s="131"/>
      <c r="R18" s="131"/>
      <c r="S18" s="131"/>
      <c r="T18" s="131">
        <v>1960913.56</v>
      </c>
      <c r="U18" s="131"/>
      <c r="V18" s="131"/>
      <c r="W18" s="131"/>
      <c r="X18" s="131"/>
      <c r="Y18" s="131"/>
      <c r="Z18" s="136">
        <f>SUM(Table_Query_from_MS_Access_Database4[[#This Row],[HURF EX]:[TAP Other]])</f>
        <v>1960913.56</v>
      </c>
      <c r="AA18" s="136">
        <f>AA17-Table_Query_from_MS_Access_Database4[TOTAL OF AMOUNT]</f>
        <v>21282909.580000002</v>
      </c>
    </row>
    <row r="19" spans="1:27" s="49" customFormat="1" ht="13.5" x14ac:dyDescent="0.25">
      <c r="A19" s="100" t="s">
        <v>177</v>
      </c>
      <c r="B19" s="100"/>
      <c r="C19" s="100" t="s">
        <v>101</v>
      </c>
      <c r="D19" s="100" t="s">
        <v>22</v>
      </c>
      <c r="E19" s="100" t="s">
        <v>178</v>
      </c>
      <c r="F19" s="151" t="s">
        <v>101</v>
      </c>
      <c r="G19" s="151" t="s">
        <v>140</v>
      </c>
      <c r="H19" s="151" t="s">
        <v>169</v>
      </c>
      <c r="I19" s="79" t="str">
        <f>CONCATENATE(Table_Query_from_MS_Access_Database4[RTE],Table_Query_from_MS_Access_Database4[SEC],Table_Query_from_MS_Access_Database4[SEQ])</f>
        <v>PAGP019</v>
      </c>
      <c r="J19" s="129">
        <v>43374</v>
      </c>
      <c r="K19" s="129">
        <v>43390</v>
      </c>
      <c r="L19" s="129">
        <v>43390</v>
      </c>
      <c r="M19" s="129">
        <v>43395</v>
      </c>
      <c r="N19" s="131"/>
      <c r="O19" s="131"/>
      <c r="P19" s="131">
        <v>1019556</v>
      </c>
      <c r="Q19" s="131"/>
      <c r="R19" s="131"/>
      <c r="S19" s="131"/>
      <c r="T19" s="152"/>
      <c r="U19" s="131"/>
      <c r="V19" s="131"/>
      <c r="W19" s="131"/>
      <c r="X19" s="131"/>
      <c r="Y19" s="131"/>
      <c r="Z19" s="136">
        <f>SUM(Table_Query_from_MS_Access_Database4[[#This Row],[HURF EX]:[TAP Other]])</f>
        <v>1019556</v>
      </c>
      <c r="AA19" s="136">
        <f>AA18-Table_Query_from_MS_Access_Database4[TOTAL OF AMOUNT]</f>
        <v>20263353.580000002</v>
      </c>
    </row>
    <row r="20" spans="1:27" s="49" customFormat="1" ht="13.5" x14ac:dyDescent="0.25">
      <c r="A20" s="101"/>
      <c r="B20" s="101"/>
      <c r="C20" s="101"/>
      <c r="D20" s="71"/>
      <c r="E20" s="71"/>
      <c r="J20" s="75"/>
      <c r="K20" s="75"/>
      <c r="L20" s="75"/>
      <c r="M20" s="84" t="s">
        <v>75</v>
      </c>
      <c r="N20" s="146">
        <f>+SUM(Table_Query_from_MS_Access_Database4[[#All],[HURF EX]])</f>
        <v>0</v>
      </c>
      <c r="O20" s="146">
        <f>+SUM(Table_Query_from_MS_Access_Database4[[#All],[HSIP]])</f>
        <v>0</v>
      </c>
      <c r="P20" s="146">
        <f>+SUM(Table_Query_from_MS_Access_Database4[[#All],[PL]])</f>
        <v>1019556</v>
      </c>
      <c r="Q20" s="146">
        <f>+SUM(Table_Query_from_MS_Access_Database4[[#All],[SPR]])</f>
        <v>0</v>
      </c>
      <c r="R20" s="146">
        <f>+SUM(Table_Query_from_MS_Access_Database4[[#All],[STP &lt;5]])</f>
        <v>0</v>
      </c>
      <c r="S20" s="146">
        <f>+SUM(Table_Query_from_MS_Access_Database4[[#All],[STP 5-200]])</f>
        <v>0</v>
      </c>
      <c r="T20" s="146">
        <f>+SUM(Table_Query_from_MS_Access_Database4[[#All],[STP OVER 200K]])</f>
        <v>2160913.56</v>
      </c>
      <c r="U20" s="146">
        <f>+SUM(Table_Query_from_MS_Access_Database4[[#All],[STP OTHER]])</f>
        <v>0</v>
      </c>
      <c r="V20" s="146">
        <f>+SUM(Table_Query_from_MS_Access_Database4[[#All],[TAP &lt;5]])</f>
        <v>0</v>
      </c>
      <c r="W20" s="146">
        <f>+SUM(Table_Query_from_MS_Access_Database4[[#All],[TAP 5-2]])</f>
        <v>0</v>
      </c>
      <c r="X20" s="146">
        <f>+SUM(Table_Query_from_MS_Access_Database4[[#All],[TAP &gt;200]])</f>
        <v>0</v>
      </c>
      <c r="Y20" s="146">
        <f>+SUM(Table_Query_from_MS_Access_Database4[[#All],[TAP Other]])</f>
        <v>0</v>
      </c>
      <c r="Z20" s="130">
        <f>SUM(O20:Y20)</f>
        <v>3180469.56</v>
      </c>
      <c r="AA20" s="88"/>
    </row>
    <row r="21" spans="1:27" s="49" customFormat="1" ht="27" x14ac:dyDescent="0.25">
      <c r="A21" s="101"/>
      <c r="B21" s="101"/>
      <c r="C21" s="101"/>
      <c r="D21" s="71"/>
      <c r="E21" s="71"/>
      <c r="J21" s="75"/>
      <c r="K21" s="75"/>
      <c r="L21" s="75"/>
      <c r="M21" s="85" t="s">
        <v>74</v>
      </c>
      <c r="N21" s="102">
        <f t="shared" ref="N21:Z21" si="4">+N13-N20</f>
        <v>0</v>
      </c>
      <c r="O21" s="102">
        <f t="shared" si="4"/>
        <v>0</v>
      </c>
      <c r="P21" s="102">
        <f t="shared" si="4"/>
        <v>5110</v>
      </c>
      <c r="Q21" s="102">
        <f t="shared" si="4"/>
        <v>350000</v>
      </c>
      <c r="R21" s="102">
        <f t="shared" si="4"/>
        <v>2112865</v>
      </c>
      <c r="S21" s="102">
        <f t="shared" si="4"/>
        <v>3304738</v>
      </c>
      <c r="T21" s="102">
        <f t="shared" si="4"/>
        <v>14441820.699999999</v>
      </c>
      <c r="U21" s="102">
        <f t="shared" si="4"/>
        <v>0</v>
      </c>
      <c r="V21" s="102">
        <f t="shared" si="4"/>
        <v>98801</v>
      </c>
      <c r="W21" s="102">
        <f t="shared" si="4"/>
        <v>72404</v>
      </c>
      <c r="X21" s="102">
        <f t="shared" si="4"/>
        <v>1565999.62</v>
      </c>
      <c r="Y21" s="102">
        <f t="shared" si="4"/>
        <v>0</v>
      </c>
      <c r="Z21" s="102">
        <f t="shared" si="4"/>
        <v>21951738.32</v>
      </c>
      <c r="AA21" s="88"/>
    </row>
    <row r="22" spans="1:27" s="47" customFormat="1" x14ac:dyDescent="0.25">
      <c r="A22" s="74"/>
      <c r="B22" s="74"/>
      <c r="C22" s="74"/>
      <c r="D22" s="71"/>
      <c r="E22" s="71"/>
      <c r="F22" s="49"/>
      <c r="G22" s="49"/>
      <c r="H22" s="49"/>
      <c r="I22" s="49"/>
      <c r="J22" s="75"/>
      <c r="K22" s="75"/>
      <c r="L22" s="75"/>
      <c r="M22" s="75"/>
      <c r="N22" s="76"/>
      <c r="O22" s="76"/>
      <c r="P22" s="76"/>
      <c r="Q22" s="76"/>
      <c r="R22" s="76"/>
      <c r="S22" s="76"/>
      <c r="T22" s="76"/>
      <c r="U22" s="76"/>
      <c r="V22" s="52"/>
      <c r="W22" s="50"/>
      <c r="X22" s="51"/>
    </row>
    <row r="23" spans="1:27" s="50" customFormat="1" ht="17.25" x14ac:dyDescent="0.25">
      <c r="A23" s="154" t="s">
        <v>35</v>
      </c>
      <c r="B23" s="154"/>
      <c r="C23" s="154"/>
      <c r="D23" s="154"/>
      <c r="E23" s="71"/>
      <c r="F23" s="77"/>
      <c r="G23" s="77"/>
      <c r="H23" s="77"/>
      <c r="I23" s="49"/>
      <c r="J23" s="75"/>
      <c r="K23" s="75"/>
      <c r="L23" s="75"/>
      <c r="M23" s="75"/>
      <c r="N23" s="76"/>
      <c r="O23" s="76"/>
      <c r="P23" s="76"/>
      <c r="Q23" s="76"/>
      <c r="R23" s="76"/>
      <c r="S23" s="76"/>
      <c r="T23" s="76"/>
      <c r="U23" s="76"/>
      <c r="V23" s="52"/>
      <c r="W23" s="72"/>
      <c r="X23" s="72"/>
    </row>
    <row r="24" spans="1:27" s="86" customFormat="1" ht="40.5" x14ac:dyDescent="0.25">
      <c r="A24" s="79" t="s">
        <v>1</v>
      </c>
      <c r="B24" s="79" t="s">
        <v>0</v>
      </c>
      <c r="C24" s="79" t="s">
        <v>3</v>
      </c>
      <c r="D24" s="78" t="s">
        <v>83</v>
      </c>
      <c r="E24" s="78" t="s">
        <v>2</v>
      </c>
      <c r="F24" s="78" t="s">
        <v>46</v>
      </c>
      <c r="G24" s="78" t="s">
        <v>47</v>
      </c>
      <c r="H24" s="78" t="s">
        <v>48</v>
      </c>
      <c r="I24" s="78" t="s">
        <v>144</v>
      </c>
      <c r="J24" s="78" t="s">
        <v>49</v>
      </c>
      <c r="K24" s="78" t="s">
        <v>50</v>
      </c>
      <c r="L24" s="78" t="s">
        <v>51</v>
      </c>
      <c r="M24" s="78" t="s">
        <v>52</v>
      </c>
      <c r="N24" s="78" t="s">
        <v>156</v>
      </c>
      <c r="O24" s="78" t="s">
        <v>4</v>
      </c>
      <c r="P24" s="78" t="s">
        <v>42</v>
      </c>
      <c r="Q24" s="78" t="s">
        <v>5</v>
      </c>
      <c r="R24" s="78" t="s">
        <v>142</v>
      </c>
      <c r="S24" s="78" t="s">
        <v>164</v>
      </c>
      <c r="T24" s="78" t="s">
        <v>93</v>
      </c>
      <c r="U24" s="78" t="s">
        <v>53</v>
      </c>
      <c r="V24" s="78" t="s">
        <v>138</v>
      </c>
      <c r="W24" s="78" t="s">
        <v>139</v>
      </c>
      <c r="X24" s="78" t="s">
        <v>145</v>
      </c>
      <c r="Y24" s="78" t="s">
        <v>141</v>
      </c>
      <c r="Z24" s="78" t="s">
        <v>85</v>
      </c>
      <c r="AA24" s="78" t="s">
        <v>54</v>
      </c>
    </row>
    <row r="25" spans="1:27" s="49" customFormat="1" ht="13.5" x14ac:dyDescent="0.25">
      <c r="A25" s="109" t="s">
        <v>174</v>
      </c>
      <c r="B25" s="153" t="s">
        <v>175</v>
      </c>
      <c r="C25" s="109" t="s">
        <v>134</v>
      </c>
      <c r="D25" s="132" t="s">
        <v>7</v>
      </c>
      <c r="E25" s="49" t="s">
        <v>176</v>
      </c>
      <c r="F25" s="77" t="s">
        <v>135</v>
      </c>
      <c r="G25" s="77" t="s">
        <v>133</v>
      </c>
      <c r="H25" s="77" t="s">
        <v>173</v>
      </c>
      <c r="I25" s="77" t="str">
        <f>CONCATENATE(Table_Query_from_MS_Access_Database_1[RTE],Table_Query_from_MS_Access_Database_1[SEC],Table_Query_from_MS_Access_Database_1[SEQ])</f>
        <v>TUC0TBD</v>
      </c>
      <c r="J25" s="128">
        <v>43466</v>
      </c>
      <c r="K25" s="128"/>
      <c r="L25" s="128"/>
      <c r="M25" s="129"/>
      <c r="N25" s="131"/>
      <c r="O25" s="131"/>
      <c r="P25" s="131"/>
      <c r="Q25" s="88"/>
      <c r="R25" s="88"/>
      <c r="S25" s="88"/>
      <c r="T25" s="88">
        <v>1915000</v>
      </c>
      <c r="U25" s="88"/>
      <c r="V25" s="88"/>
      <c r="W25" s="88"/>
      <c r="X25" s="88"/>
      <c r="Y25" s="88"/>
      <c r="Z25" s="88">
        <f>SUM(Table_Query_from_MS_Access_Database_1[[#This Row],[HURF EX]:[TAP Other]])</f>
        <v>1915000</v>
      </c>
      <c r="AA25" s="88">
        <f>AA19-Table_Query_from_MS_Access_Database_1[TOTAL OF AMOUNT]</f>
        <v>18348353.580000002</v>
      </c>
    </row>
    <row r="26" spans="1:27" s="49" customFormat="1" ht="13.5" x14ac:dyDescent="0.25">
      <c r="A26" s="131" t="s">
        <v>226</v>
      </c>
      <c r="B26" s="100" t="s">
        <v>227</v>
      </c>
      <c r="C26" s="131" t="s">
        <v>134</v>
      </c>
      <c r="D26" s="131" t="s">
        <v>7</v>
      </c>
      <c r="E26" s="100" t="s">
        <v>228</v>
      </c>
      <c r="F26" s="79" t="s">
        <v>135</v>
      </c>
      <c r="G26" s="79" t="s">
        <v>133</v>
      </c>
      <c r="H26" s="79" t="s">
        <v>173</v>
      </c>
      <c r="I26" s="79" t="str">
        <f>CONCATENATE(Table_Query_from_MS_Access_Database_1[RTE],Table_Query_from_MS_Access_Database_1[SEC],Table_Query_from_MS_Access_Database_1[SEQ])</f>
        <v>TUC0TBD</v>
      </c>
      <c r="J26" s="129">
        <v>43466</v>
      </c>
      <c r="K26" s="129"/>
      <c r="L26" s="129"/>
      <c r="M26" s="129"/>
      <c r="N26" s="131"/>
      <c r="O26" s="131"/>
      <c r="P26" s="131"/>
      <c r="Q26" s="131"/>
      <c r="R26" s="131"/>
      <c r="S26" s="131"/>
      <c r="T26" s="131"/>
      <c r="U26" s="131"/>
      <c r="V26" s="131"/>
      <c r="W26" s="131"/>
      <c r="X26" s="131">
        <v>100000</v>
      </c>
      <c r="Y26" s="131"/>
      <c r="Z26" s="131">
        <f>SUM(Table_Query_from_MS_Access_Database_1[[#This Row],[HURF EX]:[TAP Other]])</f>
        <v>100000</v>
      </c>
      <c r="AA26" s="131">
        <f>AA25-Table_Query_from_MS_Access_Database_1[TOTAL OF AMOUNT]</f>
        <v>18248353.580000002</v>
      </c>
    </row>
    <row r="27" spans="1:27" s="49" customFormat="1" ht="13.5" x14ac:dyDescent="0.25">
      <c r="A27" s="131" t="s">
        <v>230</v>
      </c>
      <c r="B27" s="100"/>
      <c r="C27" s="131" t="s">
        <v>101</v>
      </c>
      <c r="D27" s="131" t="s">
        <v>23</v>
      </c>
      <c r="E27" s="100" t="s">
        <v>231</v>
      </c>
      <c r="F27" s="79" t="s">
        <v>148</v>
      </c>
      <c r="G27" s="79" t="s">
        <v>149</v>
      </c>
      <c r="H27" s="79" t="s">
        <v>232</v>
      </c>
      <c r="I27" s="79" t="str">
        <f>CONCATENATE(Table_Query_from_MS_Access_Database_1[RTE],Table_Query_from_MS_Access_Database_1[SEC],Table_Query_from_MS_Access_Database_1[SEQ])</f>
        <v>PCAT018</v>
      </c>
      <c r="J27" s="129">
        <v>43405</v>
      </c>
      <c r="K27" s="129">
        <v>43438</v>
      </c>
      <c r="L27" s="129">
        <v>43438</v>
      </c>
      <c r="M27" s="129"/>
      <c r="N27" s="131"/>
      <c r="O27" s="131"/>
      <c r="P27" s="131"/>
      <c r="Q27" s="131"/>
      <c r="R27" s="131">
        <v>-2275843.5699999998</v>
      </c>
      <c r="S27" s="131"/>
      <c r="T27" s="131"/>
      <c r="U27" s="131"/>
      <c r="V27" s="131"/>
      <c r="W27" s="131"/>
      <c r="X27" s="131"/>
      <c r="Y27" s="131"/>
      <c r="Z27" s="131">
        <f>SUM(Table_Query_from_MS_Access_Database_1[[#This Row],[HURF EX]:[TAP Other]])</f>
        <v>-2275843.5699999998</v>
      </c>
      <c r="AA27" s="131">
        <f>AA26-Table_Query_from_MS_Access_Database_1[TOTAL OF AMOUNT]</f>
        <v>20524197.150000002</v>
      </c>
    </row>
    <row r="28" spans="1:27" s="49" customFormat="1" ht="13.5" x14ac:dyDescent="0.25">
      <c r="A28" s="131" t="s">
        <v>233</v>
      </c>
      <c r="B28" s="100"/>
      <c r="C28" s="131" t="s">
        <v>101</v>
      </c>
      <c r="D28" s="131" t="s">
        <v>8</v>
      </c>
      <c r="E28" s="100" t="s">
        <v>234</v>
      </c>
      <c r="F28" s="79" t="s">
        <v>148</v>
      </c>
      <c r="G28" s="79" t="s">
        <v>150</v>
      </c>
      <c r="H28" s="79" t="s">
        <v>232</v>
      </c>
      <c r="I28" s="79" t="str">
        <f>CONCATENATE(Table_Query_from_MS_Access_Database_1[RTE],Table_Query_from_MS_Access_Database_1[SEC],Table_Query_from_MS_Access_Database_1[SEQ])</f>
        <v>PCAN018</v>
      </c>
      <c r="J28" s="129">
        <v>43405</v>
      </c>
      <c r="K28" s="129">
        <v>43434</v>
      </c>
      <c r="L28" s="129">
        <v>43434</v>
      </c>
      <c r="M28" s="129"/>
      <c r="N28" s="131"/>
      <c r="O28" s="131"/>
      <c r="P28" s="131"/>
      <c r="Q28" s="131"/>
      <c r="R28" s="131"/>
      <c r="S28" s="131"/>
      <c r="T28" s="131">
        <v>-336218</v>
      </c>
      <c r="U28" s="131"/>
      <c r="V28" s="131"/>
      <c r="W28" s="131"/>
      <c r="X28" s="131"/>
      <c r="Y28" s="131"/>
      <c r="Z28" s="131">
        <f>SUM(Table_Query_from_MS_Access_Database_1[[#This Row],[HURF EX]:[TAP Other]])</f>
        <v>-336218</v>
      </c>
      <c r="AA28" s="131">
        <f>AA27-Table_Query_from_MS_Access_Database_1[TOTAL OF AMOUNT]</f>
        <v>20860415.150000002</v>
      </c>
    </row>
    <row r="29" spans="1:27" s="49" customFormat="1" ht="13.5" x14ac:dyDescent="0.25">
      <c r="A29" s="131" t="s">
        <v>167</v>
      </c>
      <c r="B29" s="100" t="s">
        <v>166</v>
      </c>
      <c r="C29" s="131" t="s">
        <v>101</v>
      </c>
      <c r="D29" s="131" t="s">
        <v>8</v>
      </c>
      <c r="E29" s="100" t="s">
        <v>168</v>
      </c>
      <c r="F29" s="79" t="s">
        <v>148</v>
      </c>
      <c r="G29" s="79" t="s">
        <v>149</v>
      </c>
      <c r="H29" s="79" t="s">
        <v>169</v>
      </c>
      <c r="I29" s="79" t="str">
        <f>CONCATENATE(Table_Query_from_MS_Access_Database_1[RTE],Table_Query_from_MS_Access_Database_1[SEC],Table_Query_from_MS_Access_Database_1[SEQ])</f>
        <v>PCAT019</v>
      </c>
      <c r="J29" s="129">
        <v>43405</v>
      </c>
      <c r="K29" s="129">
        <v>43438</v>
      </c>
      <c r="L29" s="129">
        <v>43438</v>
      </c>
      <c r="M29" s="129"/>
      <c r="N29" s="131"/>
      <c r="O29" s="131"/>
      <c r="P29" s="131"/>
      <c r="Q29" s="131"/>
      <c r="R29" s="131">
        <v>2275843.5699999998</v>
      </c>
      <c r="S29" s="131"/>
      <c r="T29" s="131"/>
      <c r="U29" s="131"/>
      <c r="V29" s="131"/>
      <c r="W29" s="131"/>
      <c r="X29" s="131"/>
      <c r="Y29" s="131"/>
      <c r="Z29" s="131">
        <f>SUM(Table_Query_from_MS_Access_Database_1[[#This Row],[HURF EX]:[TAP Other]])</f>
        <v>2275843.5699999998</v>
      </c>
      <c r="AA29" s="131">
        <f>AA28-Table_Query_from_MS_Access_Database_1[TOTAL OF AMOUNT]</f>
        <v>18584571.580000002</v>
      </c>
    </row>
    <row r="30" spans="1:27" s="49" customFormat="1" ht="13.5" x14ac:dyDescent="0.25">
      <c r="A30" s="131" t="s">
        <v>179</v>
      </c>
      <c r="B30" s="100" t="s">
        <v>166</v>
      </c>
      <c r="C30" s="131" t="s">
        <v>101</v>
      </c>
      <c r="D30" s="131" t="s">
        <v>8</v>
      </c>
      <c r="E30" s="100" t="s">
        <v>180</v>
      </c>
      <c r="F30" s="79" t="s">
        <v>148</v>
      </c>
      <c r="G30" s="79" t="s">
        <v>150</v>
      </c>
      <c r="H30" s="79" t="s">
        <v>169</v>
      </c>
      <c r="I30" s="79" t="str">
        <f>CONCATENATE(Table_Query_from_MS_Access_Database_1[RTE],Table_Query_from_MS_Access_Database_1[SEC],Table_Query_from_MS_Access_Database_1[SEQ])</f>
        <v>PCAN019</v>
      </c>
      <c r="J30" s="129">
        <v>43405</v>
      </c>
      <c r="K30" s="129">
        <v>43434</v>
      </c>
      <c r="L30" s="129">
        <v>43434</v>
      </c>
      <c r="M30" s="129"/>
      <c r="N30" s="131"/>
      <c r="O30" s="131"/>
      <c r="P30" s="131"/>
      <c r="Q30" s="131"/>
      <c r="R30" s="131"/>
      <c r="S30" s="131"/>
      <c r="T30" s="131">
        <v>336218</v>
      </c>
      <c r="U30" s="131"/>
      <c r="V30" s="131"/>
      <c r="W30" s="131"/>
      <c r="X30" s="131"/>
      <c r="Y30" s="131"/>
      <c r="Z30" s="131">
        <f>SUM(Table_Query_from_MS_Access_Database_1[[#This Row],[HURF EX]:[TAP Other]])</f>
        <v>336218</v>
      </c>
      <c r="AA30" s="131">
        <f>AA29-Table_Query_from_MS_Access_Database_1[TOTAL OF AMOUNT]</f>
        <v>18248353.580000002</v>
      </c>
    </row>
    <row r="31" spans="1:27" s="49" customFormat="1" ht="13.5" x14ac:dyDescent="0.25">
      <c r="A31" s="131" t="s">
        <v>205</v>
      </c>
      <c r="B31" s="100" t="s">
        <v>165</v>
      </c>
      <c r="C31" s="131" t="s">
        <v>229</v>
      </c>
      <c r="D31" s="131" t="s">
        <v>7</v>
      </c>
      <c r="E31" s="100" t="s">
        <v>172</v>
      </c>
      <c r="F31" s="79" t="s">
        <v>170</v>
      </c>
      <c r="G31" s="79" t="s">
        <v>155</v>
      </c>
      <c r="H31" s="79" t="s">
        <v>173</v>
      </c>
      <c r="I31" s="79" t="str">
        <f>CONCATENATE(Table_Query_from_MS_Access_Database_1[RTE],Table_Query_from_MS_Access_Database_1[SEC],Table_Query_from_MS_Access_Database_1[SEQ])</f>
        <v>094ATBD</v>
      </c>
      <c r="J31" s="129">
        <v>43466</v>
      </c>
      <c r="K31" s="129"/>
      <c r="L31" s="129"/>
      <c r="M31" s="129"/>
      <c r="N31" s="131"/>
      <c r="O31" s="131"/>
      <c r="P31" s="131"/>
      <c r="Q31" s="131"/>
      <c r="R31" s="131"/>
      <c r="S31" s="131">
        <v>50000</v>
      </c>
      <c r="T31" s="131"/>
      <c r="U31" s="131"/>
      <c r="V31" s="131"/>
      <c r="W31" s="131"/>
      <c r="X31" s="131"/>
      <c r="Y31" s="131"/>
      <c r="Z31" s="131">
        <f>SUM(Table_Query_from_MS_Access_Database_1[[#This Row],[HURF EX]:[TAP Other]])</f>
        <v>50000</v>
      </c>
      <c r="AA31" s="131">
        <f>AA30-Table_Query_from_MS_Access_Database_1[TOTAL OF AMOUNT]</f>
        <v>18198353.580000002</v>
      </c>
    </row>
    <row r="32" spans="1:27" s="49" customFormat="1" ht="27" x14ac:dyDescent="0.25">
      <c r="A32" s="131" t="s">
        <v>181</v>
      </c>
      <c r="B32" s="100" t="s">
        <v>182</v>
      </c>
      <c r="C32" s="131" t="s">
        <v>134</v>
      </c>
      <c r="D32" s="131" t="s">
        <v>7</v>
      </c>
      <c r="E32" s="100" t="s">
        <v>183</v>
      </c>
      <c r="F32" s="79" t="s">
        <v>135</v>
      </c>
      <c r="G32" s="79" t="s">
        <v>133</v>
      </c>
      <c r="H32" s="79" t="s">
        <v>184</v>
      </c>
      <c r="I32" s="79" t="str">
        <f>CONCATENATE(Table_Query_from_MS_Access_Database_1[RTE],Table_Query_from_MS_Access_Database_1[SEC],Table_Query_from_MS_Access_Database_1[SEQ])</f>
        <v>TUC0252</v>
      </c>
      <c r="J32" s="129">
        <v>43466</v>
      </c>
      <c r="K32" s="129"/>
      <c r="L32" s="129"/>
      <c r="M32" s="129"/>
      <c r="N32" s="131"/>
      <c r="O32" s="131"/>
      <c r="P32" s="131"/>
      <c r="Q32" s="131"/>
      <c r="R32" s="131"/>
      <c r="S32" s="131"/>
      <c r="T32" s="131">
        <v>70000</v>
      </c>
      <c r="U32" s="131"/>
      <c r="V32" s="131"/>
      <c r="W32" s="131"/>
      <c r="X32" s="131"/>
      <c r="Y32" s="131"/>
      <c r="Z32" s="131">
        <f>SUM(Table_Query_from_MS_Access_Database_1[[#This Row],[HURF EX]:[TAP Other]])</f>
        <v>70000</v>
      </c>
      <c r="AA32" s="131">
        <f>AA31-Table_Query_from_MS_Access_Database_1[TOTAL OF AMOUNT]</f>
        <v>18128353.580000002</v>
      </c>
    </row>
    <row r="33" spans="1:27" s="49" customFormat="1" ht="27" x14ac:dyDescent="0.25">
      <c r="A33" s="131" t="s">
        <v>185</v>
      </c>
      <c r="B33" s="100" t="s">
        <v>186</v>
      </c>
      <c r="C33" s="131" t="s">
        <v>136</v>
      </c>
      <c r="D33" s="131" t="s">
        <v>7</v>
      </c>
      <c r="E33" s="100" t="s">
        <v>187</v>
      </c>
      <c r="F33" s="79" t="s">
        <v>137</v>
      </c>
      <c r="G33" s="79" t="s">
        <v>133</v>
      </c>
      <c r="H33" s="79" t="s">
        <v>188</v>
      </c>
      <c r="I33" s="79" t="str">
        <f>CONCATENATE(Table_Query_from_MS_Access_Database_1[RTE],Table_Query_from_MS_Access_Database_1[SEC],Table_Query_from_MS_Access_Database_1[SEQ])</f>
        <v>PPM0254</v>
      </c>
      <c r="J33" s="129">
        <v>43570</v>
      </c>
      <c r="K33" s="129"/>
      <c r="L33" s="129"/>
      <c r="M33" s="129"/>
      <c r="N33" s="131"/>
      <c r="O33" s="131"/>
      <c r="P33" s="131"/>
      <c r="Q33" s="131"/>
      <c r="R33" s="131"/>
      <c r="S33" s="131"/>
      <c r="T33" s="131">
        <v>1579000</v>
      </c>
      <c r="U33" s="131"/>
      <c r="V33" s="131"/>
      <c r="W33" s="131"/>
      <c r="X33" s="131"/>
      <c r="Y33" s="131"/>
      <c r="Z33" s="131">
        <f>SUM(Table_Query_from_MS_Access_Database_1[[#This Row],[HURF EX]:[TAP Other]])</f>
        <v>1579000</v>
      </c>
      <c r="AA33" s="131">
        <f>AA32-Table_Query_from_MS_Access_Database_1[TOTAL OF AMOUNT]</f>
        <v>16549353.580000002</v>
      </c>
    </row>
    <row r="34" spans="1:27" s="49" customFormat="1" ht="13.5" x14ac:dyDescent="0.25">
      <c r="A34" s="131" t="s">
        <v>219</v>
      </c>
      <c r="B34" s="100" t="s">
        <v>220</v>
      </c>
      <c r="C34" s="131" t="s">
        <v>134</v>
      </c>
      <c r="D34" s="131" t="s">
        <v>8</v>
      </c>
      <c r="E34" s="100" t="s">
        <v>221</v>
      </c>
      <c r="F34" s="79" t="s">
        <v>135</v>
      </c>
      <c r="G34" s="79" t="s">
        <v>133</v>
      </c>
      <c r="H34" s="79" t="s">
        <v>222</v>
      </c>
      <c r="I34" s="79" t="str">
        <f>CONCATENATE(Table_Query_from_MS_Access_Database_1[RTE],Table_Query_from_MS_Access_Database_1[SEC],Table_Query_from_MS_Access_Database_1[SEQ])</f>
        <v>TUC0260</v>
      </c>
      <c r="J34" s="129">
        <v>43466</v>
      </c>
      <c r="K34" s="129"/>
      <c r="L34" s="129"/>
      <c r="M34" s="129"/>
      <c r="N34" s="131"/>
      <c r="O34" s="131"/>
      <c r="P34" s="131"/>
      <c r="Q34" s="131"/>
      <c r="R34" s="131"/>
      <c r="S34" s="131"/>
      <c r="T34" s="131">
        <v>200000</v>
      </c>
      <c r="U34" s="131"/>
      <c r="V34" s="131"/>
      <c r="W34" s="131"/>
      <c r="X34" s="131"/>
      <c r="Y34" s="131"/>
      <c r="Z34" s="131">
        <f>SUM(Table_Query_from_MS_Access_Database_1[[#This Row],[HURF EX]:[TAP Other]])</f>
        <v>200000</v>
      </c>
      <c r="AA34" s="131">
        <f>AA33-Table_Query_from_MS_Access_Database_1[TOTAL OF AMOUNT]</f>
        <v>16349353.580000002</v>
      </c>
    </row>
    <row r="35" spans="1:27" s="49" customFormat="1" ht="13.5" x14ac:dyDescent="0.25">
      <c r="A35" s="131" t="s">
        <v>189</v>
      </c>
      <c r="B35" s="100" t="s">
        <v>190</v>
      </c>
      <c r="C35" s="131" t="s">
        <v>134</v>
      </c>
      <c r="D35" s="131" t="s">
        <v>7</v>
      </c>
      <c r="E35" s="100" t="s">
        <v>191</v>
      </c>
      <c r="F35" s="79" t="s">
        <v>135</v>
      </c>
      <c r="G35" s="79" t="s">
        <v>133</v>
      </c>
      <c r="H35" s="79" t="s">
        <v>192</v>
      </c>
      <c r="I35" s="79" t="str">
        <f>CONCATENATE(Table_Query_from_MS_Access_Database_1[RTE],Table_Query_from_MS_Access_Database_1[SEC],Table_Query_from_MS_Access_Database_1[SEQ])</f>
        <v>TUC0263</v>
      </c>
      <c r="J35" s="129">
        <v>43570</v>
      </c>
      <c r="K35" s="129"/>
      <c r="L35" s="129"/>
      <c r="M35" s="129"/>
      <c r="N35" s="131"/>
      <c r="O35" s="131"/>
      <c r="P35" s="131"/>
      <c r="Q35" s="131"/>
      <c r="R35" s="131"/>
      <c r="S35" s="131"/>
      <c r="T35" s="131">
        <v>200000</v>
      </c>
      <c r="U35" s="131"/>
      <c r="V35" s="131"/>
      <c r="W35" s="131"/>
      <c r="X35" s="131"/>
      <c r="Y35" s="131"/>
      <c r="Z35" s="131">
        <f>SUM(Table_Query_from_MS_Access_Database_1[[#This Row],[HURF EX]:[TAP Other]])</f>
        <v>200000</v>
      </c>
      <c r="AA35" s="131">
        <f>AA34-Table_Query_from_MS_Access_Database_1[TOTAL OF AMOUNT]</f>
        <v>16149353.580000002</v>
      </c>
    </row>
    <row r="36" spans="1:27" s="49" customFormat="1" ht="27" x14ac:dyDescent="0.25">
      <c r="A36" s="131" t="s">
        <v>193</v>
      </c>
      <c r="B36" s="100" t="s">
        <v>194</v>
      </c>
      <c r="C36" s="131" t="s">
        <v>136</v>
      </c>
      <c r="D36" s="131" t="s">
        <v>7</v>
      </c>
      <c r="E36" s="100" t="s">
        <v>195</v>
      </c>
      <c r="F36" s="79" t="s">
        <v>137</v>
      </c>
      <c r="G36" s="79" t="s">
        <v>133</v>
      </c>
      <c r="H36" s="79" t="s">
        <v>196</v>
      </c>
      <c r="I36" s="79" t="str">
        <f>CONCATENATE(Table_Query_from_MS_Access_Database_1[RTE],Table_Query_from_MS_Access_Database_1[SEC],Table_Query_from_MS_Access_Database_1[SEQ])</f>
        <v>PPM0257</v>
      </c>
      <c r="J36" s="129">
        <v>43646</v>
      </c>
      <c r="K36" s="129"/>
      <c r="L36" s="129"/>
      <c r="M36" s="129"/>
      <c r="N36" s="131"/>
      <c r="O36" s="131"/>
      <c r="P36" s="131"/>
      <c r="Q36" s="131"/>
      <c r="R36" s="131"/>
      <c r="S36" s="131"/>
      <c r="T36" s="152">
        <v>10400000</v>
      </c>
      <c r="U36" s="131"/>
      <c r="V36" s="131"/>
      <c r="W36" s="131"/>
      <c r="X36" s="131"/>
      <c r="Y36" s="131"/>
      <c r="Z36" s="131">
        <f>SUM(Table_Query_from_MS_Access_Database_1[[#This Row],[HURF EX]:[TAP Other]])</f>
        <v>10400000</v>
      </c>
      <c r="AA36" s="131">
        <f>AA35-Table_Query_from_MS_Access_Database_1[TOTAL OF AMOUNT]</f>
        <v>5749353.5800000019</v>
      </c>
    </row>
    <row r="37" spans="1:27" s="49" customFormat="1" ht="27" x14ac:dyDescent="0.25">
      <c r="A37" s="131" t="s">
        <v>197</v>
      </c>
      <c r="B37" s="100" t="s">
        <v>198</v>
      </c>
      <c r="C37" s="131" t="s">
        <v>136</v>
      </c>
      <c r="D37" s="131" t="s">
        <v>7</v>
      </c>
      <c r="E37" s="100" t="s">
        <v>199</v>
      </c>
      <c r="F37" s="79" t="s">
        <v>137</v>
      </c>
      <c r="G37" s="79" t="s">
        <v>133</v>
      </c>
      <c r="H37" s="79" t="s">
        <v>200</v>
      </c>
      <c r="I37" s="79" t="str">
        <f>CONCATENATE(Table_Query_from_MS_Access_Database_1[RTE],Table_Query_from_MS_Access_Database_1[SEC],Table_Query_from_MS_Access_Database_1[SEQ])</f>
        <v>PPM0262</v>
      </c>
      <c r="J37" s="129">
        <v>43482</v>
      </c>
      <c r="K37" s="129"/>
      <c r="L37" s="129"/>
      <c r="M37" s="129"/>
      <c r="N37" s="131"/>
      <c r="O37" s="131"/>
      <c r="P37" s="131"/>
      <c r="Q37" s="131"/>
      <c r="R37" s="131"/>
      <c r="S37" s="131">
        <v>804000</v>
      </c>
      <c r="T37" s="152"/>
      <c r="U37" s="131"/>
      <c r="V37" s="131"/>
      <c r="W37" s="131"/>
      <c r="X37" s="131"/>
      <c r="Y37" s="131"/>
      <c r="Z37" s="131">
        <f>SUM(Table_Query_from_MS_Access_Database_1[[#This Row],[HURF EX]:[TAP Other]])</f>
        <v>804000</v>
      </c>
      <c r="AA37" s="131">
        <f>AA36-Table_Query_from_MS_Access_Database_1[TOTAL OF AMOUNT]</f>
        <v>4945353.5800000019</v>
      </c>
    </row>
    <row r="38" spans="1:27" s="49" customFormat="1" ht="40.5" x14ac:dyDescent="0.25">
      <c r="A38" s="131" t="s">
        <v>201</v>
      </c>
      <c r="B38" s="100" t="s">
        <v>202</v>
      </c>
      <c r="C38" s="131" t="s">
        <v>136</v>
      </c>
      <c r="D38" s="131" t="s">
        <v>7</v>
      </c>
      <c r="E38" s="100" t="s">
        <v>203</v>
      </c>
      <c r="F38" s="79" t="s">
        <v>137</v>
      </c>
      <c r="G38" s="79" t="s">
        <v>133</v>
      </c>
      <c r="H38" s="79" t="s">
        <v>192</v>
      </c>
      <c r="I38" s="79" t="str">
        <f>CONCATENATE(Table_Query_from_MS_Access_Database_1[RTE],Table_Query_from_MS_Access_Database_1[SEC],Table_Query_from_MS_Access_Database_1[SEQ])</f>
        <v>PPM0263</v>
      </c>
      <c r="J38" s="129">
        <v>43496</v>
      </c>
      <c r="K38" s="129"/>
      <c r="L38" s="129"/>
      <c r="M38" s="129"/>
      <c r="N38" s="131"/>
      <c r="O38" s="131"/>
      <c r="P38" s="131"/>
      <c r="Q38" s="131"/>
      <c r="R38" s="131"/>
      <c r="S38" s="131"/>
      <c r="T38" s="152"/>
      <c r="U38" s="131"/>
      <c r="V38" s="131"/>
      <c r="W38" s="131"/>
      <c r="X38" s="131">
        <v>997223</v>
      </c>
      <c r="Y38" s="131"/>
      <c r="Z38" s="131">
        <f>SUM(Table_Query_from_MS_Access_Database_1[[#This Row],[HURF EX]:[TAP Other]])</f>
        <v>997223</v>
      </c>
      <c r="AA38" s="131">
        <f>AA37-Table_Query_from_MS_Access_Database_1[TOTAL OF AMOUNT]</f>
        <v>3948130.5800000019</v>
      </c>
    </row>
    <row r="39" spans="1:27" s="49" customFormat="1" ht="27" x14ac:dyDescent="0.25">
      <c r="A39" s="131" t="s">
        <v>223</v>
      </c>
      <c r="B39" s="100" t="s">
        <v>224</v>
      </c>
      <c r="C39" s="131" t="s">
        <v>136</v>
      </c>
      <c r="D39" s="131" t="s">
        <v>7</v>
      </c>
      <c r="E39" s="100" t="s">
        <v>225</v>
      </c>
      <c r="F39" s="79" t="s">
        <v>137</v>
      </c>
      <c r="G39" s="79" t="s">
        <v>133</v>
      </c>
      <c r="H39" s="79" t="s">
        <v>204</v>
      </c>
      <c r="I39" s="79" t="str">
        <f>CONCATENATE(Table_Query_from_MS_Access_Database_1[RTE],Table_Query_from_MS_Access_Database_1[SEC],Table_Query_from_MS_Access_Database_1[SEQ])</f>
        <v>PPM0264</v>
      </c>
      <c r="J39" s="129">
        <v>43418</v>
      </c>
      <c r="K39" s="129"/>
      <c r="L39" s="129"/>
      <c r="M39" s="129"/>
      <c r="N39" s="131"/>
      <c r="O39" s="131"/>
      <c r="P39" s="131"/>
      <c r="Q39" s="131"/>
      <c r="R39" s="131"/>
      <c r="S39" s="131">
        <v>322000</v>
      </c>
      <c r="T39" s="152"/>
      <c r="U39" s="131"/>
      <c r="V39" s="131"/>
      <c r="W39" s="131"/>
      <c r="X39" s="131"/>
      <c r="Y39" s="131"/>
      <c r="Z39" s="131">
        <f>SUM(Table_Query_from_MS_Access_Database_1[[#This Row],[HURF EX]:[TAP Other]])</f>
        <v>322000</v>
      </c>
      <c r="AA39" s="131">
        <f>AA38-Table_Query_from_MS_Access_Database_1[TOTAL OF AMOUNT]</f>
        <v>3626130.5800000019</v>
      </c>
    </row>
    <row r="40" spans="1:27" s="47" customFormat="1" x14ac:dyDescent="0.25">
      <c r="A40" s="101"/>
      <c r="B40" s="101"/>
      <c r="C40" s="101"/>
      <c r="D40" s="71"/>
      <c r="E40" s="71"/>
      <c r="F40" s="49"/>
      <c r="G40" s="49"/>
      <c r="H40" s="49"/>
      <c r="I40" s="49"/>
      <c r="J40" s="75"/>
      <c r="K40" s="75"/>
      <c r="L40" s="75"/>
      <c r="M40" s="84" t="s">
        <v>75</v>
      </c>
      <c r="N40" s="146">
        <f>+SUM(Table_Query_from_MS_Access_Database_1[[#All],[HURF EX]])</f>
        <v>0</v>
      </c>
      <c r="O40" s="146">
        <f>+SUM(Table_Query_from_MS_Access_Database_1[[#All],[HSIP]])</f>
        <v>0</v>
      </c>
      <c r="P40" s="146">
        <f>+SUM(Table_Query_from_MS_Access_Database_1[[#All],[PL]])</f>
        <v>0</v>
      </c>
      <c r="Q40" s="146">
        <f>+SUM(Table_Query_from_MS_Access_Database_1[[#All],[SPR]])</f>
        <v>0</v>
      </c>
      <c r="R40" s="146">
        <f>+SUM(Table_Query_from_MS_Access_Database_1[[#All],[STP &lt;5]])</f>
        <v>0</v>
      </c>
      <c r="S40" s="146">
        <f>+SUM(Table_Query_from_MS_Access_Database_1[[#All],[STP 5-200]])</f>
        <v>1176000</v>
      </c>
      <c r="T40" s="146">
        <f>+SUM(Table_Query_from_MS_Access_Database_1[[#All],[STP OVER 200K]])</f>
        <v>14364000</v>
      </c>
      <c r="U40" s="146">
        <f>+SUM(Table_Query_from_MS_Access_Database_1[[#All],[STP OTHER]])</f>
        <v>0</v>
      </c>
      <c r="V40" s="146">
        <f>+SUM(Table_Query_from_MS_Access_Database_1[[#All],[TAP &lt;5]])</f>
        <v>0</v>
      </c>
      <c r="W40" s="146">
        <f>+SUM(Table_Query_from_MS_Access_Database_1[[#All],[TAP 5-2]])</f>
        <v>0</v>
      </c>
      <c r="X40" s="146">
        <f>+SUM(Table_Query_from_MS_Access_Database_1[[#All],[TAP &gt;200]])</f>
        <v>1097223</v>
      </c>
      <c r="Y40" s="146">
        <f>+SUM(Table_Query_from_MS_Access_Database_1[[#All],[TAP Other]])</f>
        <v>0</v>
      </c>
      <c r="Z40" s="130">
        <f>SUBTOTAL(109,Table_Query_from_MS_Access_Database_1[TOTAL OF AMOUNT])</f>
        <v>16637223</v>
      </c>
      <c r="AA40" s="148"/>
    </row>
    <row r="41" spans="1:27" s="47" customFormat="1" ht="27" x14ac:dyDescent="0.25">
      <c r="A41" s="101"/>
      <c r="B41" s="101"/>
      <c r="C41" s="101"/>
      <c r="D41" s="71"/>
      <c r="E41" s="71"/>
      <c r="F41" s="49"/>
      <c r="G41" s="49"/>
      <c r="H41" s="49"/>
      <c r="I41" s="49"/>
      <c r="J41" s="75"/>
      <c r="K41" s="75"/>
      <c r="L41" s="75"/>
      <c r="M41" s="85" t="s">
        <v>74</v>
      </c>
      <c r="N41" s="102">
        <f>+N21-N40</f>
        <v>0</v>
      </c>
      <c r="O41" s="102">
        <f>+O21-O40</f>
        <v>0</v>
      </c>
      <c r="P41" s="102">
        <f>+P21-P40</f>
        <v>5110</v>
      </c>
      <c r="Q41" s="102">
        <f>+Q21-Q40</f>
        <v>350000</v>
      </c>
      <c r="R41" s="102">
        <f>+R21-R40</f>
        <v>2112865</v>
      </c>
      <c r="S41" s="102">
        <f>+S21-S40</f>
        <v>2128738</v>
      </c>
      <c r="T41" s="102">
        <f>+T21-T40</f>
        <v>77820.699999999255</v>
      </c>
      <c r="U41" s="102">
        <f>+U21-U40</f>
        <v>0</v>
      </c>
      <c r="V41" s="102">
        <f>+V21-V40</f>
        <v>98801</v>
      </c>
      <c r="W41" s="102">
        <f>+W21-W40</f>
        <v>72404</v>
      </c>
      <c r="X41" s="102">
        <f>+X21-X40</f>
        <v>468776.62000000011</v>
      </c>
      <c r="Y41" s="102">
        <f>+Y21-Y40</f>
        <v>0</v>
      </c>
      <c r="Z41" s="102">
        <f>+Z21-Z40</f>
        <v>5314515.32</v>
      </c>
      <c r="AA41" s="148"/>
    </row>
    <row r="42" spans="1:27" s="47" customFormat="1" x14ac:dyDescent="0.25">
      <c r="J42" s="80"/>
      <c r="K42" s="80"/>
      <c r="L42" s="80"/>
      <c r="M42" s="80"/>
      <c r="N42" s="48">
        <f>N20+N40</f>
        <v>0</v>
      </c>
      <c r="O42" s="48">
        <f>O20+O40</f>
        <v>0</v>
      </c>
      <c r="P42" s="48">
        <f>P20+P40</f>
        <v>1019556</v>
      </c>
      <c r="Q42" s="48">
        <f>Q20+Q40</f>
        <v>0</v>
      </c>
      <c r="R42" s="48">
        <f>R20+R40</f>
        <v>0</v>
      </c>
      <c r="S42" s="48">
        <f>S20+S40</f>
        <v>1176000</v>
      </c>
      <c r="T42" s="48">
        <f>T20+T40</f>
        <v>16524913.560000001</v>
      </c>
      <c r="U42" s="48">
        <f>U20+U40</f>
        <v>0</v>
      </c>
      <c r="V42" s="48">
        <f>V20+V40</f>
        <v>0</v>
      </c>
      <c r="W42" s="48">
        <f>W20+W40</f>
        <v>0</v>
      </c>
      <c r="X42" s="48">
        <f>X20+X40</f>
        <v>1097223</v>
      </c>
      <c r="Y42" s="48">
        <f>Y20+Y40</f>
        <v>0</v>
      </c>
      <c r="Z42" s="48">
        <f>Z20+Z40</f>
        <v>19817692.559999999</v>
      </c>
      <c r="AA42" s="33"/>
    </row>
    <row r="43" spans="1:27" s="49" customFormat="1" x14ac:dyDescent="0.25">
      <c r="A43" s="47"/>
      <c r="B43" s="47"/>
      <c r="C43" s="47"/>
      <c r="D43" s="47"/>
      <c r="E43" s="47"/>
      <c r="F43" s="47"/>
      <c r="G43" s="47"/>
      <c r="H43" s="47"/>
      <c r="I43" s="47"/>
      <c r="J43" s="80"/>
      <c r="K43" s="80"/>
      <c r="L43" s="80"/>
      <c r="M43" s="80"/>
      <c r="N43" s="48"/>
      <c r="O43" s="48"/>
      <c r="P43" s="48"/>
      <c r="Q43" s="48"/>
      <c r="R43" s="48"/>
      <c r="S43" s="48"/>
      <c r="T43" s="48"/>
      <c r="U43" s="48"/>
      <c r="V43" s="48"/>
      <c r="W43" s="48"/>
      <c r="X43" s="48"/>
      <c r="Y43" s="48"/>
      <c r="Z43" s="47"/>
      <c r="AA43" s="33"/>
    </row>
    <row r="44" spans="1:27" s="49" customFormat="1" ht="17.25" x14ac:dyDescent="0.25">
      <c r="A44" s="163" t="s">
        <v>76</v>
      </c>
      <c r="B44" s="163"/>
      <c r="C44" s="163"/>
      <c r="D44" s="47"/>
      <c r="E44" s="47"/>
      <c r="F44" s="47"/>
      <c r="G44" s="47"/>
      <c r="H44" s="47"/>
      <c r="I44" s="47"/>
      <c r="J44" s="80"/>
      <c r="K44" s="80"/>
      <c r="L44" s="80"/>
      <c r="M44" s="80"/>
      <c r="N44" s="155" t="s">
        <v>58</v>
      </c>
      <c r="O44" s="155"/>
      <c r="P44" s="155"/>
      <c r="Q44" s="155"/>
      <c r="R44" s="155"/>
      <c r="S44" s="155"/>
      <c r="T44" s="155"/>
      <c r="U44" s="155"/>
      <c r="V44" s="73"/>
      <c r="W44" s="87"/>
      <c r="Y44" s="47"/>
      <c r="Z44" s="47"/>
      <c r="AA44" s="33"/>
    </row>
    <row r="45" spans="1:27" s="49" customFormat="1" ht="27" x14ac:dyDescent="0.25">
      <c r="A45" s="47"/>
      <c r="B45" s="47"/>
      <c r="C45" s="47"/>
      <c r="D45" s="47"/>
      <c r="E45" s="47"/>
      <c r="F45" s="47"/>
      <c r="G45" s="47"/>
      <c r="H45" s="47"/>
      <c r="I45" s="47"/>
      <c r="J45" s="80"/>
      <c r="K45" s="80"/>
      <c r="L45" s="80"/>
      <c r="M45" s="81"/>
      <c r="N45" s="78" t="s">
        <v>156</v>
      </c>
      <c r="O45" s="78" t="s">
        <v>4</v>
      </c>
      <c r="P45" s="78" t="s">
        <v>42</v>
      </c>
      <c r="Q45" s="78" t="s">
        <v>5</v>
      </c>
      <c r="R45" s="78" t="s">
        <v>142</v>
      </c>
      <c r="S45" s="77" t="s">
        <v>143</v>
      </c>
      <c r="T45" s="78" t="s">
        <v>93</v>
      </c>
      <c r="U45" s="78" t="s">
        <v>53</v>
      </c>
      <c r="V45" s="78" t="s">
        <v>138</v>
      </c>
      <c r="W45" s="78" t="s">
        <v>139</v>
      </c>
      <c r="X45" s="78" t="s">
        <v>95</v>
      </c>
      <c r="Y45" s="78" t="s">
        <v>94</v>
      </c>
      <c r="Z45" s="82" t="s">
        <v>10</v>
      </c>
      <c r="AA45" s="83" t="s">
        <v>59</v>
      </c>
    </row>
    <row r="46" spans="1:27" s="47" customFormat="1" x14ac:dyDescent="0.25">
      <c r="A46" s="49"/>
      <c r="B46" s="49"/>
      <c r="C46" s="49"/>
      <c r="D46" s="49"/>
      <c r="E46" s="49"/>
      <c r="F46" s="49"/>
      <c r="G46" s="49"/>
      <c r="H46" s="49"/>
      <c r="I46" s="49"/>
      <c r="J46" s="75"/>
      <c r="K46" s="75"/>
      <c r="L46" s="75"/>
      <c r="M46" s="91" t="s">
        <v>208</v>
      </c>
      <c r="N46" s="93">
        <f t="shared" ref="N46:Y46" si="5">+N41</f>
        <v>0</v>
      </c>
      <c r="O46" s="93">
        <f t="shared" si="5"/>
        <v>0</v>
      </c>
      <c r="P46" s="93">
        <f t="shared" si="5"/>
        <v>5110</v>
      </c>
      <c r="Q46" s="93">
        <f t="shared" si="5"/>
        <v>350000</v>
      </c>
      <c r="R46" s="93">
        <f t="shared" si="5"/>
        <v>2112865</v>
      </c>
      <c r="S46" s="93">
        <f t="shared" si="5"/>
        <v>2128738</v>
      </c>
      <c r="T46" s="93">
        <f t="shared" si="5"/>
        <v>77820.699999999255</v>
      </c>
      <c r="U46" s="93">
        <f t="shared" si="5"/>
        <v>0</v>
      </c>
      <c r="V46" s="93">
        <f t="shared" si="5"/>
        <v>98801</v>
      </c>
      <c r="W46" s="93">
        <f t="shared" si="5"/>
        <v>72404</v>
      </c>
      <c r="X46" s="93">
        <f t="shared" si="5"/>
        <v>468776.62000000011</v>
      </c>
      <c r="Y46" s="93">
        <f t="shared" si="5"/>
        <v>0</v>
      </c>
      <c r="Z46" s="98">
        <f>SUM(Table6[[#This Row],[HURF EX]:[TA OTHER]])</f>
        <v>5314515.3199999994</v>
      </c>
      <c r="AA46" s="94">
        <f>AA39</f>
        <v>3626130.5800000019</v>
      </c>
    </row>
    <row r="47" spans="1:27" x14ac:dyDescent="0.25">
      <c r="A47" s="49"/>
      <c r="B47" s="49"/>
      <c r="C47" s="49"/>
      <c r="D47" s="49"/>
      <c r="E47" s="49"/>
      <c r="F47" s="49"/>
      <c r="G47" s="49"/>
      <c r="H47" s="49"/>
      <c r="I47" s="49"/>
      <c r="J47" s="75"/>
      <c r="K47" s="75"/>
      <c r="L47" s="75"/>
      <c r="M47" s="91" t="s">
        <v>209</v>
      </c>
      <c r="N47" s="95">
        <f>SUMIFS(Table_Query_from_MS_Access_Database[[#All],[HURF Exchange]],Table_Query_from_MS_Access_Database[[#All],[Transaction Year]],"2019",Table_Query_from_MS_Access_Database[[#All],[Transaction Type]],"Lapsing")</f>
        <v>0</v>
      </c>
      <c r="O47" s="95">
        <v>0</v>
      </c>
      <c r="P47" s="95">
        <v>0</v>
      </c>
      <c r="Q47" s="95">
        <v>0</v>
      </c>
      <c r="R47" s="95">
        <v>0</v>
      </c>
      <c r="S47" s="95">
        <v>0</v>
      </c>
      <c r="T47" s="95">
        <v>0</v>
      </c>
      <c r="U47" s="95">
        <v>0</v>
      </c>
      <c r="V47" s="95">
        <v>0</v>
      </c>
      <c r="W47" s="95">
        <v>0</v>
      </c>
      <c r="X47" s="95">
        <v>0</v>
      </c>
      <c r="Y47" s="95">
        <v>0</v>
      </c>
      <c r="Z47" s="99">
        <f>SUM(Table6[[#This Row],[HURF EX]:[TA OTHER]])</f>
        <v>0</v>
      </c>
      <c r="AA47" s="95">
        <f>SUMIFS(Table_Query_from_MS_Access_Database_16[[#All],[To]],Table_Query_from_MS_Access_Database_16[[#All],[Transaction Year]],"2019",Table_Query_from_MS_Access_Database_16[[#All],[Transaction Type]],"Lapsing")</f>
        <v>0</v>
      </c>
    </row>
    <row r="48" spans="1:27" x14ac:dyDescent="0.25">
      <c r="A48" s="49"/>
      <c r="B48" s="49"/>
      <c r="C48" s="49"/>
      <c r="D48" s="49"/>
      <c r="E48" s="49"/>
      <c r="F48" s="49"/>
      <c r="G48" s="49"/>
      <c r="H48" s="49"/>
      <c r="I48" s="49"/>
      <c r="J48" s="75"/>
      <c r="K48" s="75"/>
      <c r="L48" s="75"/>
      <c r="M48" s="91" t="s">
        <v>210</v>
      </c>
      <c r="N48" s="96">
        <f>SUM(N46:N47)</f>
        <v>0</v>
      </c>
      <c r="O48" s="96">
        <f t="shared" ref="O48:X48" si="6">SUM(O46:O47)</f>
        <v>0</v>
      </c>
      <c r="P48" s="96">
        <f t="shared" si="6"/>
        <v>5110</v>
      </c>
      <c r="Q48" s="96">
        <f t="shared" si="6"/>
        <v>350000</v>
      </c>
      <c r="R48" s="96">
        <f t="shared" si="6"/>
        <v>2112865</v>
      </c>
      <c r="S48" s="96">
        <v>0</v>
      </c>
      <c r="T48" s="96">
        <f t="shared" si="6"/>
        <v>77820.699999999255</v>
      </c>
      <c r="U48" s="96">
        <f t="shared" si="6"/>
        <v>0</v>
      </c>
      <c r="V48" s="96">
        <f t="shared" si="6"/>
        <v>98801</v>
      </c>
      <c r="W48" s="96">
        <v>0</v>
      </c>
      <c r="X48" s="96">
        <f t="shared" si="6"/>
        <v>468776.62000000011</v>
      </c>
      <c r="Y48" s="96">
        <f t="shared" ref="Y48" si="7">SUM(Y46:Y47)</f>
        <v>0</v>
      </c>
      <c r="Z48" s="99">
        <f>SUM(Table6[[#This Row],[HURF EX]:[TA OTHER]])</f>
        <v>3113373.3199999994</v>
      </c>
      <c r="AA48" s="93">
        <f>SUM(N48:X48)</f>
        <v>3113373.3199999994</v>
      </c>
    </row>
    <row r="49" spans="1:27" x14ac:dyDescent="0.25">
      <c r="A49" s="49"/>
      <c r="B49" s="49"/>
      <c r="C49" s="49"/>
      <c r="D49" s="49"/>
      <c r="E49" s="49"/>
      <c r="F49" s="49"/>
      <c r="G49" s="49"/>
      <c r="H49" s="49"/>
      <c r="I49" s="49"/>
      <c r="J49" s="75"/>
      <c r="K49" s="75"/>
      <c r="L49" s="75"/>
      <c r="M49" s="92" t="s">
        <v>207</v>
      </c>
      <c r="N49" s="97">
        <v>0</v>
      </c>
      <c r="O49" s="97">
        <v>0</v>
      </c>
      <c r="P49" s="97">
        <v>0</v>
      </c>
      <c r="Q49" s="97">
        <f t="shared" ref="Q49" si="8">+Q42</f>
        <v>0</v>
      </c>
      <c r="R49" s="97">
        <f t="shared" ref="R49" si="9">+R42</f>
        <v>0</v>
      </c>
      <c r="S49" s="97">
        <f>+S41-S48</f>
        <v>2128738</v>
      </c>
      <c r="T49" s="97">
        <v>0</v>
      </c>
      <c r="U49" s="97">
        <f t="shared" ref="U49" si="10">+U42</f>
        <v>0</v>
      </c>
      <c r="V49" s="35">
        <f t="shared" ref="V49" si="11">+V42</f>
        <v>0</v>
      </c>
      <c r="W49" s="97">
        <f>+W41-W48</f>
        <v>72404</v>
      </c>
      <c r="X49" s="97">
        <v>0</v>
      </c>
      <c r="Y49" s="97">
        <v>0</v>
      </c>
      <c r="Z49" s="93">
        <f>+SUM(Table6[[#This Row],[HURF EX]:[TA OTHER]])</f>
        <v>2201142</v>
      </c>
      <c r="AA49" s="93">
        <f>Table6[[#This Row],[Total]]</f>
        <v>2201142</v>
      </c>
    </row>
    <row r="50" spans="1:27" x14ac:dyDescent="0.25">
      <c r="A50" s="47"/>
      <c r="B50" s="47"/>
      <c r="C50" s="47"/>
      <c r="D50" s="47"/>
      <c r="E50" s="47"/>
      <c r="F50" s="47"/>
      <c r="G50" s="47"/>
      <c r="H50" s="47"/>
      <c r="I50" s="47"/>
      <c r="J50" s="67"/>
      <c r="K50" s="67"/>
      <c r="L50" s="67"/>
      <c r="M50" s="67"/>
      <c r="N50" s="48"/>
      <c r="O50" s="48"/>
      <c r="P50" s="48"/>
      <c r="Q50" s="48"/>
      <c r="R50" s="48"/>
      <c r="S50" s="48"/>
      <c r="T50" s="48"/>
      <c r="U50" s="46"/>
      <c r="V50" s="52"/>
      <c r="W50" s="52"/>
      <c r="X50" s="49"/>
    </row>
    <row r="51" spans="1:27" x14ac:dyDescent="0.25">
      <c r="V51" s="48"/>
      <c r="W51" s="52"/>
      <c r="X51" s="49"/>
    </row>
    <row r="52" spans="1:27" x14ac:dyDescent="0.25">
      <c r="V52" s="48"/>
      <c r="W52" s="52"/>
      <c r="X52" s="49"/>
    </row>
    <row r="53" spans="1:27" x14ac:dyDescent="0.25">
      <c r="W53" s="48"/>
      <c r="X53" s="47"/>
    </row>
  </sheetData>
  <sheetProtection autoFilter="0"/>
  <mergeCells count="13">
    <mergeCell ref="A23:D23"/>
    <mergeCell ref="N44:U44"/>
    <mergeCell ref="A1:F1"/>
    <mergeCell ref="A15:D15"/>
    <mergeCell ref="A10:L10"/>
    <mergeCell ref="A3:D3"/>
    <mergeCell ref="A4:D4"/>
    <mergeCell ref="J15:M15"/>
    <mergeCell ref="A6:B6"/>
    <mergeCell ref="A44:C44"/>
    <mergeCell ref="N2:Z2"/>
    <mergeCell ref="N1:Z1"/>
    <mergeCell ref="A5:B5"/>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51"/>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4.7109375" style="25" customWidth="1"/>
    <col min="18" max="18" width="10.7109375" style="25" customWidth="1"/>
    <col min="19" max="19" width="11.5703125" style="25" customWidth="1"/>
    <col min="20" max="22" width="13" style="25" customWidth="1"/>
    <col min="23" max="23" width="9.28515625" style="25" customWidth="1"/>
    <col min="24" max="24" width="15.140625" style="25" customWidth="1"/>
    <col min="25" max="25" width="14.7109375" style="25" customWidth="1"/>
    <col min="26" max="26" width="13" style="25" customWidth="1"/>
    <col min="27" max="27" width="12.28515625" style="25" customWidth="1"/>
    <col min="28" max="28" width="11.28515625" style="25" customWidth="1"/>
    <col min="29" max="29" width="14.7109375" style="25" customWidth="1"/>
    <col min="30" max="30" width="17.42578125" style="25" customWidth="1"/>
    <col min="31" max="34" width="12.5703125" style="25" customWidth="1"/>
    <col min="35" max="35" width="10.7109375" style="25" customWidth="1"/>
    <col min="36" max="36" width="11.42578125" style="25" customWidth="1"/>
    <col min="37" max="37" width="12.85546875" style="25" customWidth="1"/>
    <col min="38" max="38" width="16.42578125" style="25" customWidth="1"/>
    <col min="39" max="40" width="9.5703125" style="25" customWidth="1"/>
    <col min="41" max="41" width="11.85546875" style="25" customWidth="1"/>
    <col min="42" max="42" width="64.28515625" style="25" customWidth="1"/>
    <col min="43" max="43" width="14" style="25" customWidth="1"/>
    <col min="44" max="44" width="16.85546875" style="25" customWidth="1"/>
    <col min="45" max="45" width="12.140625" style="25" customWidth="1"/>
    <col min="46" max="46" width="16" style="25" customWidth="1"/>
    <col min="47" max="16384" width="19.7109375" style="9"/>
  </cols>
  <sheetData>
    <row r="1" spans="1:46" ht="18" x14ac:dyDescent="0.3">
      <c r="A1" s="167" t="str">
        <f>+'Federal Funds Transactions'!A1:F1</f>
        <v>Pima Association of Goverments</v>
      </c>
      <c r="B1" s="167"/>
      <c r="C1" s="167"/>
      <c r="D1" s="167"/>
      <c r="E1" s="167"/>
      <c r="F1" s="167"/>
    </row>
    <row r="2" spans="1:46" ht="14.45" x14ac:dyDescent="0.3">
      <c r="A2" s="27"/>
      <c r="B2" s="27"/>
      <c r="C2" s="27"/>
      <c r="D2" s="27"/>
      <c r="E2" s="27"/>
      <c r="F2" s="27"/>
    </row>
    <row r="3" spans="1:46" ht="14.45" x14ac:dyDescent="0.3">
      <c r="A3" s="168" t="s">
        <v>82</v>
      </c>
      <c r="B3" s="168"/>
      <c r="C3" s="168"/>
      <c r="D3" s="168"/>
      <c r="E3" s="168"/>
      <c r="F3" s="168"/>
    </row>
    <row r="4" spans="1:46" ht="14.45" x14ac:dyDescent="0.3">
      <c r="A4" s="28"/>
      <c r="B4" s="28"/>
      <c r="C4" s="28"/>
      <c r="D4" s="28"/>
      <c r="E4" s="28"/>
      <c r="F4" s="28"/>
    </row>
    <row r="5" spans="1:46" ht="14.45" x14ac:dyDescent="0.3">
      <c r="A5" s="25" t="s">
        <v>81</v>
      </c>
      <c r="B5" s="59">
        <f>+'Federal Funds Transactions'!C6</f>
        <v>0</v>
      </c>
      <c r="C5" s="27"/>
      <c r="D5" s="27"/>
      <c r="E5" s="27"/>
      <c r="F5" s="27"/>
    </row>
    <row r="6" spans="1:46" ht="14.45" x14ac:dyDescent="0.3">
      <c r="A6" s="27"/>
      <c r="B6" s="27"/>
      <c r="C6" s="27"/>
      <c r="D6" s="27"/>
      <c r="E6" s="27"/>
      <c r="F6" s="27"/>
    </row>
    <row r="7" spans="1:46" ht="15" customHeight="1" x14ac:dyDescent="0.3">
      <c r="A7" s="171" t="str">
        <f>+'Federal Funds Transactions'!A10:L10</f>
        <v>IMPORTANT! Please review the information in the Notes tab for further explanation of the data in this document.</v>
      </c>
      <c r="B7" s="171"/>
      <c r="C7" s="171"/>
      <c r="D7" s="171"/>
      <c r="E7" s="171"/>
      <c r="F7" s="171"/>
      <c r="G7" s="171"/>
      <c r="H7" s="171"/>
    </row>
    <row r="9" spans="1:46" ht="15.75" customHeight="1" x14ac:dyDescent="0.3">
      <c r="A9" s="169" t="s">
        <v>78</v>
      </c>
      <c r="B9" s="169"/>
      <c r="C9" s="169"/>
      <c r="D9" s="169"/>
      <c r="E9" s="169"/>
      <c r="F9" s="169"/>
      <c r="G9" s="16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1"/>
      <c r="AT10" s="31"/>
    </row>
    <row r="11" spans="1:46" x14ac:dyDescent="0.25">
      <c r="A11" s="63" t="s">
        <v>43</v>
      </c>
      <c r="B11" s="64" t="s">
        <v>44</v>
      </c>
      <c r="C11" s="64" t="s">
        <v>13</v>
      </c>
      <c r="D11" s="64" t="s">
        <v>88</v>
      </c>
      <c r="E11" s="64" t="s">
        <v>89</v>
      </c>
      <c r="F11" s="64" t="s">
        <v>45</v>
      </c>
      <c r="G11" s="64" t="s">
        <v>90</v>
      </c>
      <c r="H11" s="64" t="s">
        <v>91</v>
      </c>
      <c r="I11" s="64" t="s">
        <v>10</v>
      </c>
      <c r="J11" s="64" t="s">
        <v>157</v>
      </c>
      <c r="K11" s="64" t="s">
        <v>4</v>
      </c>
      <c r="L11" s="64" t="s">
        <v>151</v>
      </c>
      <c r="M11" s="64" t="s">
        <v>5</v>
      </c>
      <c r="N11" s="65" t="s">
        <v>142</v>
      </c>
      <c r="O11" s="65" t="s">
        <v>143</v>
      </c>
      <c r="P11" s="65" t="s">
        <v>152</v>
      </c>
      <c r="Q11" s="65" t="s">
        <v>153</v>
      </c>
      <c r="R11" s="65" t="s">
        <v>138</v>
      </c>
      <c r="S11" s="65" t="s">
        <v>139</v>
      </c>
      <c r="T11" s="65" t="s">
        <v>145</v>
      </c>
      <c r="U11" s="65" t="s">
        <v>163</v>
      </c>
      <c r="V11" s="64" t="s">
        <v>154</v>
      </c>
      <c r="W11" s="31"/>
      <c r="X11" s="31"/>
      <c r="Y11" s="31"/>
      <c r="Z11" s="31"/>
      <c r="AA11" s="31"/>
      <c r="AB11" s="31"/>
      <c r="AC11" s="31"/>
      <c r="AD11" s="31"/>
      <c r="AE11" s="31"/>
      <c r="AF11" s="9"/>
      <c r="AG11" s="9"/>
      <c r="AH11" s="9"/>
      <c r="AI11" s="9"/>
      <c r="AJ11" s="9"/>
      <c r="AK11" s="9"/>
      <c r="AL11" s="9"/>
      <c r="AM11" s="9"/>
      <c r="AN11" s="9"/>
      <c r="AO11" s="9"/>
      <c r="AP11" s="9"/>
      <c r="AQ11" s="9"/>
      <c r="AR11" s="9"/>
      <c r="AS11" s="9"/>
      <c r="AT11" s="9"/>
    </row>
    <row r="12" spans="1:46" x14ac:dyDescent="0.25">
      <c r="A12" s="55" t="s">
        <v>99</v>
      </c>
      <c r="B12" s="53" t="s">
        <v>97</v>
      </c>
      <c r="C12" s="53" t="s">
        <v>100</v>
      </c>
      <c r="D12" s="53" t="s">
        <v>96</v>
      </c>
      <c r="E12" s="53" t="s">
        <v>101</v>
      </c>
      <c r="F12" s="53" t="s">
        <v>99</v>
      </c>
      <c r="G12" s="53"/>
      <c r="H12" s="53" t="s">
        <v>102</v>
      </c>
      <c r="I12" s="53">
        <v>4282925</v>
      </c>
      <c r="J12" s="53"/>
      <c r="K12" s="53"/>
      <c r="L12" s="54"/>
      <c r="M12" s="54"/>
      <c r="N12" s="106"/>
      <c r="O12" s="106"/>
      <c r="P12" s="133">
        <v>4282925</v>
      </c>
      <c r="Q12" s="133"/>
      <c r="R12" s="133"/>
      <c r="S12" s="133"/>
      <c r="T12" s="133"/>
      <c r="U12" s="133"/>
      <c r="V12" s="106"/>
      <c r="W12" s="134"/>
      <c r="X12" s="134"/>
      <c r="Y12" s="134"/>
      <c r="Z12" s="134"/>
      <c r="AA12" s="134"/>
      <c r="AB12" s="62"/>
      <c r="AC12" s="62"/>
      <c r="AD12" s="62"/>
      <c r="AE12" s="62"/>
      <c r="AF12" s="9"/>
      <c r="AG12" s="9"/>
      <c r="AH12" s="9"/>
      <c r="AI12" s="9"/>
      <c r="AJ12" s="9"/>
      <c r="AK12" s="9"/>
      <c r="AL12" s="9"/>
      <c r="AM12" s="9"/>
      <c r="AN12" s="9"/>
      <c r="AO12" s="9"/>
      <c r="AP12" s="9"/>
      <c r="AQ12" s="9"/>
      <c r="AR12" s="9"/>
      <c r="AS12" s="9"/>
      <c r="AT12" s="9"/>
    </row>
    <row r="13" spans="1:46" x14ac:dyDescent="0.25">
      <c r="A13" s="56" t="s">
        <v>99</v>
      </c>
      <c r="B13" s="54" t="s">
        <v>97</v>
      </c>
      <c r="C13" s="54" t="s">
        <v>103</v>
      </c>
      <c r="D13" s="54" t="s">
        <v>96</v>
      </c>
      <c r="E13" s="54" t="s">
        <v>101</v>
      </c>
      <c r="F13" s="54" t="s">
        <v>99</v>
      </c>
      <c r="G13" s="54"/>
      <c r="H13" s="54" t="s">
        <v>104</v>
      </c>
      <c r="I13" s="54">
        <v>496655</v>
      </c>
      <c r="J13" s="54"/>
      <c r="K13" s="54"/>
      <c r="L13" s="54"/>
      <c r="M13" s="54"/>
      <c r="N13" s="106"/>
      <c r="O13" s="106"/>
      <c r="P13" s="133">
        <v>496655</v>
      </c>
      <c r="Q13" s="133"/>
      <c r="R13" s="133"/>
      <c r="S13" s="133"/>
      <c r="T13" s="133"/>
      <c r="U13" s="133"/>
      <c r="V13" s="106"/>
      <c r="W13" s="134"/>
      <c r="X13" s="134"/>
      <c r="Y13" s="134"/>
      <c r="Z13" s="134"/>
      <c r="AA13" s="134"/>
      <c r="AB13" s="62"/>
      <c r="AC13" s="62"/>
      <c r="AD13" s="62"/>
      <c r="AE13" s="62"/>
      <c r="AF13" s="9"/>
      <c r="AG13" s="9"/>
      <c r="AH13" s="9"/>
      <c r="AI13" s="9"/>
      <c r="AJ13" s="9"/>
      <c r="AK13" s="9"/>
      <c r="AL13" s="9"/>
      <c r="AM13" s="9"/>
      <c r="AN13" s="9"/>
      <c r="AO13" s="9"/>
      <c r="AP13" s="9"/>
      <c r="AQ13" s="9"/>
      <c r="AR13" s="9"/>
      <c r="AS13" s="9"/>
      <c r="AT13" s="9"/>
    </row>
    <row r="14" spans="1:46" x14ac:dyDescent="0.25">
      <c r="A14" s="56" t="s">
        <v>99</v>
      </c>
      <c r="B14" s="54" t="s">
        <v>97</v>
      </c>
      <c r="C14" s="54" t="s">
        <v>105</v>
      </c>
      <c r="D14" s="54" t="s">
        <v>96</v>
      </c>
      <c r="E14" s="54" t="s">
        <v>101</v>
      </c>
      <c r="F14" s="54" t="s">
        <v>106</v>
      </c>
      <c r="G14" s="54" t="s">
        <v>107</v>
      </c>
      <c r="H14" s="54" t="s">
        <v>108</v>
      </c>
      <c r="I14" s="54">
        <v>6475197</v>
      </c>
      <c r="J14" s="54"/>
      <c r="K14" s="54"/>
      <c r="L14" s="54"/>
      <c r="M14" s="54"/>
      <c r="N14" s="106"/>
      <c r="O14" s="106"/>
      <c r="P14" s="133">
        <v>6475197</v>
      </c>
      <c r="Q14" s="133"/>
      <c r="R14" s="133"/>
      <c r="S14" s="133"/>
      <c r="T14" s="133"/>
      <c r="U14" s="133"/>
      <c r="V14" s="106"/>
      <c r="W14" s="134"/>
      <c r="X14" s="134"/>
      <c r="Y14" s="134"/>
      <c r="Z14" s="134"/>
      <c r="AA14" s="134"/>
      <c r="AB14" s="62"/>
      <c r="AC14" s="62"/>
      <c r="AD14" s="62"/>
      <c r="AE14" s="62"/>
      <c r="AF14" s="9"/>
      <c r="AG14" s="9"/>
      <c r="AH14" s="9"/>
      <c r="AI14" s="9"/>
      <c r="AJ14" s="9"/>
      <c r="AK14" s="9"/>
      <c r="AL14" s="9"/>
      <c r="AM14" s="9"/>
      <c r="AN14" s="9"/>
      <c r="AO14" s="9"/>
      <c r="AP14" s="9"/>
      <c r="AQ14" s="9"/>
      <c r="AR14" s="9"/>
      <c r="AS14" s="9"/>
      <c r="AT14" s="9"/>
    </row>
    <row r="15" spans="1:46" x14ac:dyDescent="0.25">
      <c r="A15" s="56" t="s">
        <v>106</v>
      </c>
      <c r="B15" s="54" t="s">
        <v>84</v>
      </c>
      <c r="C15" s="54" t="s">
        <v>109</v>
      </c>
      <c r="D15" s="54" t="s">
        <v>101</v>
      </c>
      <c r="E15" s="54" t="s">
        <v>96</v>
      </c>
      <c r="F15" s="54" t="s">
        <v>106</v>
      </c>
      <c r="G15" s="54"/>
      <c r="H15" s="54" t="s">
        <v>110</v>
      </c>
      <c r="I15" s="54">
        <v>-2739783.7</v>
      </c>
      <c r="J15" s="54"/>
      <c r="K15" s="54"/>
      <c r="L15" s="54"/>
      <c r="M15" s="54"/>
      <c r="N15" s="106"/>
      <c r="O15" s="106"/>
      <c r="P15" s="133">
        <v>-2739783.7</v>
      </c>
      <c r="Q15" s="133"/>
      <c r="R15" s="133"/>
      <c r="S15" s="133"/>
      <c r="T15" s="133"/>
      <c r="U15" s="133"/>
      <c r="V15" s="106"/>
      <c r="W15" s="134"/>
      <c r="X15" s="134"/>
      <c r="Y15" s="134"/>
      <c r="Z15" s="134"/>
      <c r="AA15" s="134"/>
      <c r="AB15" s="62"/>
      <c r="AC15" s="62"/>
      <c r="AD15" s="62"/>
      <c r="AE15" s="62"/>
      <c r="AF15" s="9"/>
      <c r="AG15" s="9"/>
      <c r="AH15" s="9"/>
      <c r="AI15" s="9"/>
      <c r="AJ15" s="9"/>
      <c r="AK15" s="9"/>
      <c r="AL15" s="9"/>
      <c r="AM15" s="9"/>
      <c r="AN15" s="9"/>
      <c r="AO15" s="9"/>
      <c r="AP15" s="9"/>
      <c r="AQ15" s="9"/>
      <c r="AR15" s="9"/>
      <c r="AS15" s="9"/>
      <c r="AT15" s="9"/>
    </row>
    <row r="16" spans="1:46" x14ac:dyDescent="0.25">
      <c r="A16" s="56" t="s">
        <v>106</v>
      </c>
      <c r="B16" s="54" t="s">
        <v>84</v>
      </c>
      <c r="C16" s="54" t="s">
        <v>109</v>
      </c>
      <c r="D16" s="54" t="s">
        <v>101</v>
      </c>
      <c r="E16" s="54" t="s">
        <v>96</v>
      </c>
      <c r="F16" s="54" t="s">
        <v>106</v>
      </c>
      <c r="G16" s="54"/>
      <c r="H16" s="54" t="s">
        <v>111</v>
      </c>
      <c r="I16" s="54">
        <v>-9957472</v>
      </c>
      <c r="J16" s="54"/>
      <c r="K16" s="54"/>
      <c r="L16" s="54"/>
      <c r="M16" s="54"/>
      <c r="N16" s="106"/>
      <c r="O16" s="106"/>
      <c r="P16" s="133">
        <v>-9957472</v>
      </c>
      <c r="Q16" s="133"/>
      <c r="R16" s="133"/>
      <c r="S16" s="133"/>
      <c r="T16" s="133"/>
      <c r="U16" s="133"/>
      <c r="V16" s="106"/>
      <c r="W16" s="134"/>
      <c r="X16" s="134"/>
      <c r="Y16" s="134"/>
      <c r="Z16" s="134"/>
      <c r="AA16" s="134"/>
      <c r="AB16" s="62"/>
      <c r="AC16" s="62"/>
      <c r="AD16" s="62"/>
      <c r="AE16" s="62"/>
      <c r="AF16" s="9"/>
      <c r="AG16" s="9"/>
      <c r="AH16" s="9"/>
      <c r="AI16" s="9"/>
      <c r="AJ16" s="9"/>
      <c r="AK16" s="9"/>
      <c r="AL16" s="9"/>
      <c r="AM16" s="9"/>
      <c r="AN16" s="9"/>
      <c r="AO16" s="9"/>
      <c r="AP16" s="9"/>
      <c r="AQ16" s="9"/>
      <c r="AR16" s="9"/>
      <c r="AS16" s="9"/>
      <c r="AT16" s="9"/>
    </row>
    <row r="17" spans="1:46" x14ac:dyDescent="0.25">
      <c r="A17" s="57" t="s">
        <v>106</v>
      </c>
      <c r="B17" s="58" t="s">
        <v>84</v>
      </c>
      <c r="C17" s="58" t="s">
        <v>103</v>
      </c>
      <c r="D17" s="58" t="s">
        <v>101</v>
      </c>
      <c r="E17" s="58" t="s">
        <v>96</v>
      </c>
      <c r="F17" s="58" t="s">
        <v>99</v>
      </c>
      <c r="G17" s="58"/>
      <c r="H17" s="58" t="s">
        <v>112</v>
      </c>
      <c r="I17" s="58">
        <v>-496655</v>
      </c>
      <c r="J17" s="58"/>
      <c r="K17" s="58"/>
      <c r="L17" s="58"/>
      <c r="M17" s="58"/>
      <c r="N17" s="106"/>
      <c r="O17" s="106"/>
      <c r="P17" s="133">
        <v>-496655</v>
      </c>
      <c r="Q17" s="133"/>
      <c r="R17" s="133"/>
      <c r="S17" s="133"/>
      <c r="T17" s="133"/>
      <c r="U17" s="133"/>
      <c r="V17" s="106"/>
      <c r="W17" s="134"/>
      <c r="X17" s="134"/>
      <c r="Y17" s="134"/>
      <c r="Z17" s="134"/>
      <c r="AA17" s="134"/>
      <c r="AB17" s="62"/>
      <c r="AC17" s="62"/>
      <c r="AD17" s="62"/>
      <c r="AE17" s="62"/>
      <c r="AF17" s="9"/>
      <c r="AG17" s="9"/>
      <c r="AH17" s="9"/>
      <c r="AI17" s="9"/>
      <c r="AJ17" s="9"/>
      <c r="AK17" s="9"/>
      <c r="AL17" s="9"/>
      <c r="AM17" s="9"/>
      <c r="AN17" s="9"/>
      <c r="AO17" s="9"/>
      <c r="AP17" s="9"/>
      <c r="AQ17" s="9"/>
      <c r="AR17" s="9"/>
      <c r="AS17" s="9"/>
      <c r="AT17" s="9"/>
    </row>
    <row r="18" spans="1:46" x14ac:dyDescent="0.25">
      <c r="A18" s="89" t="s">
        <v>116</v>
      </c>
      <c r="B18" s="90" t="s">
        <v>117</v>
      </c>
      <c r="C18" s="90" t="s">
        <v>118</v>
      </c>
      <c r="D18" s="90" t="s">
        <v>101</v>
      </c>
      <c r="E18" s="90" t="s">
        <v>96</v>
      </c>
      <c r="F18" s="90" t="s">
        <v>119</v>
      </c>
      <c r="G18" s="90"/>
      <c r="H18" s="90" t="s">
        <v>120</v>
      </c>
      <c r="I18" s="90">
        <v>-7432121</v>
      </c>
      <c r="J18" s="90"/>
      <c r="K18" s="90">
        <v>-687045</v>
      </c>
      <c r="L18" s="90"/>
      <c r="M18" s="90">
        <v>-87500</v>
      </c>
      <c r="N18" s="106"/>
      <c r="O18" s="106"/>
      <c r="P18" s="133"/>
      <c r="Q18" s="133">
        <v>-6383937</v>
      </c>
      <c r="R18" s="133"/>
      <c r="S18" s="133"/>
      <c r="T18" s="133"/>
      <c r="U18" s="133"/>
      <c r="V18" s="106">
        <v>-273639</v>
      </c>
      <c r="W18" s="134"/>
      <c r="X18" s="134"/>
      <c r="Y18" s="134"/>
      <c r="Z18" s="134"/>
      <c r="AA18" s="134"/>
      <c r="AB18" s="62"/>
      <c r="AC18" s="62"/>
      <c r="AD18" s="62"/>
      <c r="AE18" s="62"/>
      <c r="AJ18" s="9"/>
      <c r="AK18" s="9"/>
      <c r="AL18" s="9"/>
      <c r="AM18" s="9"/>
      <c r="AN18" s="9"/>
      <c r="AO18" s="9"/>
      <c r="AP18" s="9"/>
      <c r="AQ18" s="9"/>
      <c r="AR18" s="9"/>
      <c r="AS18" s="9"/>
      <c r="AT18" s="9"/>
    </row>
    <row r="19" spans="1:46" x14ac:dyDescent="0.25">
      <c r="A19" s="103" t="s">
        <v>122</v>
      </c>
      <c r="B19" s="104" t="s">
        <v>125</v>
      </c>
      <c r="C19" s="104" t="s">
        <v>126</v>
      </c>
      <c r="D19" s="104" t="s">
        <v>101</v>
      </c>
      <c r="E19" s="104" t="s">
        <v>96</v>
      </c>
      <c r="F19" s="104" t="s">
        <v>127</v>
      </c>
      <c r="G19" s="104"/>
      <c r="H19" s="104" t="s">
        <v>128</v>
      </c>
      <c r="I19" s="104">
        <v>-846000</v>
      </c>
      <c r="J19" s="104"/>
      <c r="K19" s="104">
        <v>-846000</v>
      </c>
      <c r="L19" s="104"/>
      <c r="M19" s="104"/>
      <c r="N19" s="106"/>
      <c r="O19" s="106"/>
      <c r="P19" s="133"/>
      <c r="Q19" s="133"/>
      <c r="R19" s="133"/>
      <c r="S19" s="133"/>
      <c r="T19" s="133"/>
      <c r="U19" s="133"/>
      <c r="V19" s="106"/>
      <c r="W19" s="134"/>
      <c r="X19" s="134"/>
      <c r="Y19" s="134"/>
      <c r="Z19" s="134"/>
      <c r="AA19" s="134"/>
      <c r="AB19" s="62"/>
      <c r="AC19" s="62"/>
      <c r="AD19" s="62"/>
      <c r="AE19" s="62"/>
      <c r="AJ19" s="9"/>
      <c r="AK19" s="9"/>
      <c r="AL19" s="9"/>
      <c r="AM19" s="9"/>
      <c r="AN19" s="9"/>
      <c r="AO19" s="9"/>
      <c r="AP19" s="9"/>
      <c r="AQ19" s="9"/>
      <c r="AR19" s="9"/>
      <c r="AS19" s="9"/>
      <c r="AT19" s="9"/>
    </row>
    <row r="20" spans="1:46" x14ac:dyDescent="0.25">
      <c r="A20" s="105" t="s">
        <v>130</v>
      </c>
      <c r="B20" s="106" t="s">
        <v>125</v>
      </c>
      <c r="C20" s="106" t="s">
        <v>132</v>
      </c>
      <c r="D20" s="106" t="s">
        <v>101</v>
      </c>
      <c r="E20" s="106" t="s">
        <v>96</v>
      </c>
      <c r="F20" s="106" t="s">
        <v>127</v>
      </c>
      <c r="G20" s="106"/>
      <c r="H20" s="106" t="s">
        <v>131</v>
      </c>
      <c r="I20" s="106">
        <v>-2850000</v>
      </c>
      <c r="J20" s="106"/>
      <c r="K20" s="106"/>
      <c r="L20" s="106"/>
      <c r="M20" s="106"/>
      <c r="N20" s="106"/>
      <c r="O20" s="106"/>
      <c r="P20" s="133"/>
      <c r="Q20" s="133">
        <v>-2850000</v>
      </c>
      <c r="R20" s="133"/>
      <c r="S20" s="133"/>
      <c r="T20" s="133"/>
      <c r="U20" s="133"/>
      <c r="V20" s="106"/>
      <c r="W20" s="134"/>
      <c r="X20" s="134"/>
      <c r="Y20" s="134"/>
      <c r="Z20" s="134"/>
      <c r="AA20" s="134"/>
      <c r="AB20" s="62"/>
      <c r="AC20" s="62"/>
      <c r="AD20" s="62"/>
      <c r="AE20" s="62"/>
      <c r="AJ20" s="9"/>
      <c r="AK20" s="9"/>
      <c r="AL20" s="9"/>
      <c r="AM20" s="9"/>
      <c r="AN20" s="9"/>
      <c r="AO20" s="9"/>
      <c r="AP20" s="9"/>
      <c r="AQ20" s="9"/>
      <c r="AR20" s="9"/>
      <c r="AS20" s="9"/>
      <c r="AT20" s="9"/>
    </row>
    <row r="21" spans="1:46" x14ac:dyDescent="0.25">
      <c r="A21" s="111" t="s">
        <v>127</v>
      </c>
      <c r="B21" s="113" t="s">
        <v>125</v>
      </c>
      <c r="C21" s="113" t="s">
        <v>146</v>
      </c>
      <c r="D21" s="113" t="s">
        <v>101</v>
      </c>
      <c r="E21" s="113" t="s">
        <v>96</v>
      </c>
      <c r="F21" s="113" t="s">
        <v>147</v>
      </c>
      <c r="G21" s="113"/>
      <c r="H21" s="113" t="s">
        <v>131</v>
      </c>
      <c r="I21" s="113">
        <v>-503755</v>
      </c>
      <c r="J21" s="113"/>
      <c r="K21" s="113"/>
      <c r="L21" s="113"/>
      <c r="M21" s="113"/>
      <c r="N21" s="106"/>
      <c r="O21" s="106"/>
      <c r="P21" s="133"/>
      <c r="Q21" s="133">
        <v>-503755</v>
      </c>
      <c r="R21" s="133"/>
      <c r="S21" s="133"/>
      <c r="T21" s="133"/>
      <c r="U21" s="133"/>
      <c r="V21" s="106"/>
      <c r="W21" s="134"/>
      <c r="X21" s="134"/>
      <c r="Y21" s="134"/>
      <c r="Z21" s="134"/>
      <c r="AA21" s="134"/>
      <c r="AB21" s="62"/>
      <c r="AC21" s="62"/>
      <c r="AD21" s="62"/>
      <c r="AE21" s="62"/>
      <c r="AJ21" s="9"/>
      <c r="AK21" s="9"/>
      <c r="AL21" s="9"/>
      <c r="AM21" s="9"/>
      <c r="AN21" s="9"/>
      <c r="AO21" s="9"/>
      <c r="AP21" s="9"/>
      <c r="AQ21" s="9"/>
      <c r="AR21" s="9"/>
      <c r="AS21" s="9"/>
      <c r="AT21" s="9"/>
    </row>
    <row r="22" spans="1:46" x14ac:dyDescent="0.25">
      <c r="A22" s="112" t="s">
        <v>127</v>
      </c>
      <c r="B22" s="114" t="s">
        <v>129</v>
      </c>
      <c r="C22" s="114" t="s">
        <v>126</v>
      </c>
      <c r="D22" s="114" t="s">
        <v>96</v>
      </c>
      <c r="E22" s="114" t="s">
        <v>101</v>
      </c>
      <c r="F22" s="114" t="s">
        <v>127</v>
      </c>
      <c r="G22" s="114"/>
      <c r="H22" s="114" t="s">
        <v>128</v>
      </c>
      <c r="I22" s="114">
        <v>846000</v>
      </c>
      <c r="J22" s="114"/>
      <c r="K22" s="114">
        <v>846000</v>
      </c>
      <c r="L22" s="114"/>
      <c r="M22" s="114"/>
      <c r="N22" s="106"/>
      <c r="O22" s="106"/>
      <c r="P22" s="133"/>
      <c r="Q22" s="133"/>
      <c r="R22" s="133"/>
      <c r="S22" s="133"/>
      <c r="T22" s="133"/>
      <c r="U22" s="133"/>
      <c r="V22" s="106"/>
      <c r="W22" s="134"/>
      <c r="X22" s="134"/>
      <c r="Y22" s="134"/>
      <c r="Z22" s="134"/>
      <c r="AA22" s="134"/>
      <c r="AB22" s="62"/>
      <c r="AC22" s="62"/>
      <c r="AD22" s="62"/>
      <c r="AE22" s="62"/>
      <c r="AJ22" s="9"/>
      <c r="AK22" s="9"/>
      <c r="AL22" s="9"/>
      <c r="AM22" s="9"/>
      <c r="AN22" s="9"/>
      <c r="AO22" s="9"/>
      <c r="AP22" s="9"/>
      <c r="AQ22" s="9"/>
      <c r="AR22" s="9"/>
      <c r="AS22" s="9"/>
      <c r="AT22" s="9"/>
    </row>
    <row r="23" spans="1:46" x14ac:dyDescent="0.25">
      <c r="A23" s="103" t="s">
        <v>127</v>
      </c>
      <c r="B23" s="104" t="s">
        <v>129</v>
      </c>
      <c r="C23" s="104" t="s">
        <v>132</v>
      </c>
      <c r="D23" s="104" t="s">
        <v>96</v>
      </c>
      <c r="E23" s="104" t="s">
        <v>101</v>
      </c>
      <c r="F23" s="104" t="s">
        <v>127</v>
      </c>
      <c r="G23" s="104"/>
      <c r="H23" s="104" t="s">
        <v>131</v>
      </c>
      <c r="I23" s="104">
        <v>2850000</v>
      </c>
      <c r="J23" s="104"/>
      <c r="K23" s="104"/>
      <c r="L23" s="104"/>
      <c r="M23" s="104"/>
      <c r="N23" s="104"/>
      <c r="O23" s="104"/>
      <c r="P23" s="133"/>
      <c r="Q23" s="133">
        <v>2850000</v>
      </c>
      <c r="R23" s="133"/>
      <c r="S23" s="133"/>
      <c r="T23" s="133"/>
      <c r="U23" s="133"/>
      <c r="V23" s="106"/>
      <c r="W23" s="134"/>
      <c r="X23" s="134"/>
      <c r="Y23" s="134"/>
      <c r="Z23" s="134"/>
      <c r="AA23" s="134"/>
      <c r="AB23" s="62"/>
      <c r="AC23" s="62"/>
      <c r="AD23" s="62"/>
      <c r="AE23" s="62"/>
      <c r="AJ23" s="9"/>
      <c r="AK23" s="9"/>
      <c r="AL23" s="9"/>
      <c r="AM23" s="9"/>
      <c r="AN23" s="9"/>
      <c r="AO23" s="9"/>
      <c r="AP23" s="9"/>
      <c r="AQ23" s="9"/>
      <c r="AR23" s="9"/>
      <c r="AS23" s="9"/>
      <c r="AT23" s="9"/>
    </row>
    <row r="24" spans="1:46" x14ac:dyDescent="0.25">
      <c r="A24" s="105" t="s">
        <v>147</v>
      </c>
      <c r="B24" s="106" t="s">
        <v>129</v>
      </c>
      <c r="C24" s="106" t="s">
        <v>146</v>
      </c>
      <c r="D24" s="106" t="s">
        <v>96</v>
      </c>
      <c r="E24" s="106" t="s">
        <v>101</v>
      </c>
      <c r="F24" s="106" t="s">
        <v>147</v>
      </c>
      <c r="G24" s="106"/>
      <c r="H24" s="106" t="s">
        <v>131</v>
      </c>
      <c r="I24" s="106">
        <v>503755</v>
      </c>
      <c r="J24" s="106"/>
      <c r="K24" s="106"/>
      <c r="L24" s="106"/>
      <c r="M24" s="106"/>
      <c r="N24" s="106"/>
      <c r="O24" s="106"/>
      <c r="P24" s="133"/>
      <c r="Q24" s="133">
        <v>503755</v>
      </c>
      <c r="R24" s="133"/>
      <c r="S24" s="133"/>
      <c r="T24" s="133"/>
      <c r="U24" s="133"/>
      <c r="V24" s="106"/>
      <c r="W24" s="134"/>
      <c r="X24" s="134"/>
      <c r="Y24" s="134"/>
      <c r="Z24" s="134"/>
      <c r="AA24" s="134"/>
      <c r="AB24" s="62"/>
      <c r="AC24" s="62"/>
      <c r="AD24" s="62"/>
      <c r="AE24" s="62"/>
      <c r="AJ24" s="9"/>
      <c r="AK24" s="9"/>
      <c r="AL24" s="9"/>
      <c r="AM24" s="9"/>
      <c r="AN24" s="9"/>
      <c r="AO24" s="9"/>
      <c r="AP24" s="9"/>
      <c r="AQ24" s="9"/>
      <c r="AR24" s="9"/>
      <c r="AS24" s="9"/>
      <c r="AT24" s="9"/>
    </row>
    <row r="25" spans="1:46" x14ac:dyDescent="0.25">
      <c r="A25" s="25" t="s">
        <v>158</v>
      </c>
      <c r="B25" s="25" t="s">
        <v>159</v>
      </c>
      <c r="C25" s="25" t="s">
        <v>160</v>
      </c>
      <c r="D25" s="25" t="s">
        <v>101</v>
      </c>
      <c r="E25" s="25" t="s">
        <v>96</v>
      </c>
      <c r="F25" s="25" t="s">
        <v>147</v>
      </c>
      <c r="G25" s="25" t="s">
        <v>161</v>
      </c>
      <c r="H25" s="25" t="s">
        <v>162</v>
      </c>
      <c r="I25" s="25">
        <v>-14265000</v>
      </c>
      <c r="P25" s="25">
        <v>-14265000</v>
      </c>
      <c r="W25" s="134"/>
      <c r="X25" s="134"/>
      <c r="Y25" s="134"/>
      <c r="Z25" s="134"/>
      <c r="AA25" s="134"/>
      <c r="AB25" s="62"/>
      <c r="AC25" s="62"/>
      <c r="AD25" s="62"/>
      <c r="AE25" s="62"/>
      <c r="AJ25" s="9"/>
      <c r="AK25" s="9"/>
      <c r="AL25" s="9"/>
      <c r="AM25" s="9"/>
      <c r="AN25" s="9"/>
      <c r="AO25" s="9"/>
      <c r="AP25" s="9"/>
      <c r="AQ25" s="9"/>
      <c r="AR25" s="9"/>
      <c r="AS25" s="9"/>
      <c r="AT25" s="9"/>
    </row>
    <row r="26" spans="1:46" ht="15.75" x14ac:dyDescent="0.25">
      <c r="A26" s="170" t="s">
        <v>79</v>
      </c>
      <c r="B26" s="170"/>
      <c r="C26" s="170"/>
      <c r="D26" s="170"/>
      <c r="E26" s="170"/>
      <c r="F26" s="170"/>
      <c r="G26" s="170"/>
      <c r="AM26" s="62"/>
      <c r="AN26" s="62"/>
      <c r="AO26" s="62"/>
      <c r="AP26" s="62"/>
    </row>
    <row r="28" spans="1:46" x14ac:dyDescent="0.25">
      <c r="A28" s="62" t="s">
        <v>43</v>
      </c>
      <c r="B28" s="62" t="s">
        <v>44</v>
      </c>
      <c r="C28" s="62" t="s">
        <v>13</v>
      </c>
      <c r="D28" s="62" t="s">
        <v>88</v>
      </c>
      <c r="E28" s="62" t="s">
        <v>89</v>
      </c>
      <c r="F28" s="62" t="s">
        <v>45</v>
      </c>
      <c r="G28" s="62" t="s">
        <v>90</v>
      </c>
      <c r="H28" s="62" t="s">
        <v>91</v>
      </c>
      <c r="I28" s="62" t="s">
        <v>10</v>
      </c>
      <c r="J28" s="62" t="s">
        <v>157</v>
      </c>
      <c r="K28" s="62" t="s">
        <v>4</v>
      </c>
      <c r="L28" s="62" t="s">
        <v>151</v>
      </c>
      <c r="M28" s="62" t="s">
        <v>5</v>
      </c>
      <c r="N28" s="31" t="s">
        <v>142</v>
      </c>
      <c r="O28" s="31" t="s">
        <v>143</v>
      </c>
      <c r="P28" s="31" t="s">
        <v>152</v>
      </c>
      <c r="Q28" s="31" t="s">
        <v>153</v>
      </c>
      <c r="R28" s="31" t="s">
        <v>138</v>
      </c>
      <c r="S28" s="31" t="s">
        <v>139</v>
      </c>
      <c r="T28" s="31" t="s">
        <v>145</v>
      </c>
      <c r="U28" s="31" t="s">
        <v>154</v>
      </c>
      <c r="V28" s="31"/>
      <c r="W28" s="62"/>
      <c r="X28" s="62"/>
      <c r="Y28" s="62"/>
      <c r="Z28" s="62"/>
      <c r="AI28" s="9"/>
      <c r="AJ28" s="9"/>
      <c r="AK28" s="9"/>
      <c r="AL28" s="9"/>
      <c r="AM28" s="9"/>
      <c r="AN28" s="9"/>
      <c r="AO28" s="9"/>
      <c r="AP28" s="9"/>
      <c r="AQ28" s="9"/>
      <c r="AR28" s="9"/>
      <c r="AS28" s="9"/>
      <c r="AT28" s="9"/>
    </row>
    <row r="29" spans="1:46" x14ac:dyDescent="0.25">
      <c r="A29" s="31" t="s">
        <v>99</v>
      </c>
      <c r="B29" s="31" t="s">
        <v>97</v>
      </c>
      <c r="C29" s="31" t="s">
        <v>100</v>
      </c>
      <c r="D29" s="31" t="s">
        <v>96</v>
      </c>
      <c r="E29" s="31" t="s">
        <v>101</v>
      </c>
      <c r="F29" s="31" t="s">
        <v>99</v>
      </c>
      <c r="G29" s="31"/>
      <c r="H29" s="31" t="s">
        <v>102</v>
      </c>
      <c r="I29" s="31">
        <v>1131081</v>
      </c>
      <c r="J29" s="31"/>
      <c r="K29" s="31"/>
      <c r="L29" s="62"/>
      <c r="M29" s="62"/>
      <c r="N29" s="31"/>
      <c r="O29" s="31"/>
      <c r="P29" s="134">
        <v>1131081</v>
      </c>
      <c r="Q29" s="134"/>
      <c r="R29" s="134"/>
      <c r="S29" s="134"/>
      <c r="T29" s="134"/>
      <c r="U29" s="31"/>
      <c r="V29" s="134"/>
      <c r="W29" s="62"/>
      <c r="X29" s="62"/>
      <c r="Y29" s="62"/>
      <c r="Z29" s="62"/>
      <c r="AI29" s="9"/>
      <c r="AJ29" s="9"/>
      <c r="AK29" s="9"/>
      <c r="AL29" s="9"/>
      <c r="AM29" s="9"/>
      <c r="AN29" s="9"/>
      <c r="AO29" s="9"/>
      <c r="AP29" s="9"/>
      <c r="AQ29" s="9"/>
      <c r="AR29" s="9"/>
      <c r="AS29" s="9"/>
      <c r="AT29" s="9"/>
    </row>
    <row r="30" spans="1:46" x14ac:dyDescent="0.25">
      <c r="A30" s="62" t="s">
        <v>99</v>
      </c>
      <c r="B30" s="62" t="s">
        <v>97</v>
      </c>
      <c r="C30" s="62" t="s">
        <v>105</v>
      </c>
      <c r="D30" s="62" t="s">
        <v>96</v>
      </c>
      <c r="E30" s="62" t="s">
        <v>101</v>
      </c>
      <c r="F30" s="62" t="s">
        <v>106</v>
      </c>
      <c r="G30" s="62" t="s">
        <v>107</v>
      </c>
      <c r="H30" s="62" t="s">
        <v>108</v>
      </c>
      <c r="I30" s="62">
        <v>10123696</v>
      </c>
      <c r="J30" s="62"/>
      <c r="K30" s="62"/>
      <c r="L30" s="62"/>
      <c r="M30" s="62"/>
      <c r="N30" s="31"/>
      <c r="O30" s="31"/>
      <c r="P30" s="134">
        <v>10123696</v>
      </c>
      <c r="Q30" s="134"/>
      <c r="R30" s="134"/>
      <c r="S30" s="134"/>
      <c r="T30" s="134"/>
      <c r="U30" s="31"/>
      <c r="V30" s="134"/>
      <c r="W30" s="62"/>
      <c r="X30" s="62"/>
      <c r="Y30" s="62"/>
      <c r="Z30" s="62"/>
      <c r="AI30" s="9"/>
      <c r="AJ30" s="9"/>
      <c r="AK30" s="9"/>
      <c r="AL30" s="9"/>
      <c r="AM30" s="9"/>
      <c r="AN30" s="9"/>
      <c r="AO30" s="9"/>
      <c r="AP30" s="9"/>
      <c r="AQ30" s="9"/>
      <c r="AR30" s="9"/>
      <c r="AS30" s="9"/>
      <c r="AT30" s="9"/>
    </row>
    <row r="31" spans="1:46" x14ac:dyDescent="0.25">
      <c r="A31" s="62" t="s">
        <v>106</v>
      </c>
      <c r="B31" s="62" t="s">
        <v>84</v>
      </c>
      <c r="C31" s="62" t="s">
        <v>109</v>
      </c>
      <c r="D31" s="62" t="s">
        <v>101</v>
      </c>
      <c r="E31" s="62" t="s">
        <v>96</v>
      </c>
      <c r="F31" s="62" t="s">
        <v>106</v>
      </c>
      <c r="G31" s="62"/>
      <c r="H31" s="62" t="s">
        <v>110</v>
      </c>
      <c r="I31" s="62">
        <v>-2739783.7</v>
      </c>
      <c r="J31" s="62"/>
      <c r="K31" s="62"/>
      <c r="L31" s="62"/>
      <c r="M31" s="62"/>
      <c r="N31" s="31"/>
      <c r="O31" s="31"/>
      <c r="P31" s="134">
        <v>-2739783.7</v>
      </c>
      <c r="Q31" s="134"/>
      <c r="R31" s="134"/>
      <c r="S31" s="134"/>
      <c r="T31" s="134"/>
      <c r="U31" s="31"/>
      <c r="V31" s="134"/>
      <c r="W31" s="62"/>
      <c r="X31" s="62"/>
      <c r="Y31" s="62"/>
      <c r="Z31" s="62"/>
      <c r="AI31" s="9"/>
      <c r="AJ31" s="9"/>
      <c r="AK31" s="9"/>
      <c r="AL31" s="9"/>
      <c r="AM31" s="9"/>
      <c r="AN31" s="9"/>
      <c r="AO31" s="9"/>
      <c r="AP31" s="9"/>
      <c r="AQ31" s="9"/>
      <c r="AR31" s="9"/>
      <c r="AS31" s="9"/>
      <c r="AT31" s="9"/>
    </row>
    <row r="32" spans="1:46" x14ac:dyDescent="0.25">
      <c r="A32" s="62" t="s">
        <v>106</v>
      </c>
      <c r="B32" s="62" t="s">
        <v>84</v>
      </c>
      <c r="C32" s="62" t="s">
        <v>109</v>
      </c>
      <c r="D32" s="62" t="s">
        <v>101</v>
      </c>
      <c r="E32" s="62" t="s">
        <v>96</v>
      </c>
      <c r="F32" s="62" t="s">
        <v>106</v>
      </c>
      <c r="G32" s="62"/>
      <c r="H32" s="62" t="s">
        <v>111</v>
      </c>
      <c r="I32" s="62">
        <v>-9957472</v>
      </c>
      <c r="J32" s="62"/>
      <c r="K32" s="62"/>
      <c r="L32" s="62"/>
      <c r="M32" s="62"/>
      <c r="N32" s="31"/>
      <c r="O32" s="31"/>
      <c r="P32" s="134">
        <v>-9957472</v>
      </c>
      <c r="Q32" s="134"/>
      <c r="R32" s="134"/>
      <c r="S32" s="134"/>
      <c r="T32" s="134"/>
      <c r="U32" s="31"/>
      <c r="V32" s="134"/>
      <c r="W32" s="62"/>
      <c r="X32" s="62"/>
      <c r="Y32" s="62"/>
      <c r="Z32" s="62"/>
      <c r="AA32" s="9"/>
      <c r="AB32" s="9"/>
      <c r="AC32" s="9"/>
      <c r="AD32" s="9"/>
      <c r="AE32" s="9"/>
      <c r="AF32" s="9"/>
      <c r="AG32" s="9"/>
      <c r="AH32" s="9"/>
      <c r="AI32" s="9"/>
      <c r="AJ32" s="9"/>
      <c r="AK32" s="9"/>
      <c r="AL32" s="9"/>
      <c r="AM32" s="9"/>
      <c r="AN32" s="9"/>
      <c r="AO32" s="9"/>
      <c r="AP32" s="9"/>
      <c r="AQ32" s="9"/>
      <c r="AR32" s="9"/>
      <c r="AS32" s="9"/>
      <c r="AT32" s="9"/>
    </row>
    <row r="33" spans="1:46" x14ac:dyDescent="0.25">
      <c r="A33" s="25" t="s">
        <v>116</v>
      </c>
      <c r="B33" s="25" t="s">
        <v>97</v>
      </c>
      <c r="C33" s="25" t="s">
        <v>121</v>
      </c>
      <c r="D33" s="25" t="s">
        <v>96</v>
      </c>
      <c r="E33" s="25" t="s">
        <v>101</v>
      </c>
      <c r="F33" s="25" t="s">
        <v>122</v>
      </c>
      <c r="H33" s="25" t="s">
        <v>123</v>
      </c>
      <c r="I33" s="25">
        <v>0.02</v>
      </c>
      <c r="P33" s="135"/>
      <c r="Q33" s="135"/>
      <c r="R33" s="135"/>
      <c r="S33" s="135"/>
      <c r="T33" s="135"/>
      <c r="V33" s="135"/>
      <c r="AA33" s="9"/>
      <c r="AB33" s="9"/>
      <c r="AC33" s="9"/>
      <c r="AD33" s="9"/>
      <c r="AE33" s="9"/>
      <c r="AF33" s="9"/>
      <c r="AG33" s="9"/>
      <c r="AH33" s="9"/>
      <c r="AI33" s="9"/>
      <c r="AJ33" s="9"/>
      <c r="AK33" s="9"/>
      <c r="AL33" s="9"/>
      <c r="AM33" s="9"/>
      <c r="AN33" s="9"/>
      <c r="AO33" s="9"/>
      <c r="AP33" s="9"/>
      <c r="AQ33" s="9"/>
      <c r="AR33" s="9"/>
      <c r="AS33" s="9"/>
      <c r="AT33" s="9"/>
    </row>
    <row r="34" spans="1:46" x14ac:dyDescent="0.25">
      <c r="A34" s="25" t="s">
        <v>122</v>
      </c>
      <c r="B34" s="25" t="s">
        <v>125</v>
      </c>
      <c r="C34" s="25" t="s">
        <v>126</v>
      </c>
      <c r="D34" s="25" t="s">
        <v>101</v>
      </c>
      <c r="E34" s="25" t="s">
        <v>96</v>
      </c>
      <c r="F34" s="25" t="s">
        <v>127</v>
      </c>
      <c r="H34" s="25" t="s">
        <v>128</v>
      </c>
      <c r="I34" s="25">
        <v>-846000</v>
      </c>
      <c r="K34" s="25">
        <v>-846000</v>
      </c>
      <c r="P34" s="135"/>
      <c r="Q34" s="135"/>
      <c r="R34" s="135"/>
      <c r="S34" s="135"/>
      <c r="T34" s="135"/>
      <c r="V34" s="135"/>
      <c r="AA34" s="9"/>
      <c r="AB34" s="9"/>
      <c r="AC34" s="9"/>
      <c r="AD34" s="9"/>
      <c r="AE34" s="9"/>
      <c r="AF34" s="9"/>
      <c r="AG34" s="9"/>
      <c r="AH34" s="9"/>
      <c r="AI34" s="9"/>
      <c r="AJ34" s="9"/>
      <c r="AK34" s="9"/>
      <c r="AL34" s="9"/>
      <c r="AM34" s="9"/>
      <c r="AN34" s="9"/>
      <c r="AO34" s="9"/>
      <c r="AP34" s="9"/>
      <c r="AQ34" s="9"/>
      <c r="AR34" s="9"/>
      <c r="AS34" s="9"/>
      <c r="AT34" s="9"/>
    </row>
    <row r="35" spans="1:46" x14ac:dyDescent="0.25">
      <c r="A35" s="25" t="s">
        <v>122</v>
      </c>
      <c r="B35" s="25" t="s">
        <v>84</v>
      </c>
      <c r="C35" s="25" t="s">
        <v>121</v>
      </c>
      <c r="D35" s="25" t="s">
        <v>101</v>
      </c>
      <c r="E35" s="25" t="s">
        <v>96</v>
      </c>
      <c r="F35" s="25" t="s">
        <v>122</v>
      </c>
      <c r="H35" s="25" t="s">
        <v>124</v>
      </c>
      <c r="I35" s="25">
        <v>-0.02</v>
      </c>
      <c r="P35" s="135"/>
      <c r="Q35" s="135"/>
      <c r="R35" s="135"/>
      <c r="S35" s="135"/>
      <c r="T35" s="135"/>
      <c r="V35" s="135"/>
      <c r="AA35" s="9"/>
      <c r="AB35" s="9"/>
      <c r="AC35" s="9"/>
      <c r="AD35" s="9"/>
      <c r="AE35" s="9"/>
      <c r="AF35" s="9"/>
      <c r="AG35" s="9"/>
      <c r="AH35" s="9"/>
      <c r="AI35" s="9"/>
      <c r="AJ35" s="9"/>
      <c r="AK35" s="9"/>
      <c r="AL35" s="9"/>
      <c r="AM35" s="9"/>
      <c r="AN35" s="9"/>
      <c r="AO35" s="9"/>
      <c r="AP35" s="9"/>
      <c r="AQ35" s="9"/>
      <c r="AR35" s="9"/>
      <c r="AS35" s="9"/>
      <c r="AT35" s="9"/>
    </row>
    <row r="36" spans="1:46" x14ac:dyDescent="0.25">
      <c r="A36" s="25" t="s">
        <v>130</v>
      </c>
      <c r="B36" s="25" t="s">
        <v>125</v>
      </c>
      <c r="C36" s="25" t="s">
        <v>132</v>
      </c>
      <c r="D36" s="25" t="s">
        <v>101</v>
      </c>
      <c r="E36" s="25" t="s">
        <v>96</v>
      </c>
      <c r="F36" s="25" t="s">
        <v>127</v>
      </c>
      <c r="H36" s="25" t="s">
        <v>131</v>
      </c>
      <c r="I36" s="25">
        <v>-2850000</v>
      </c>
      <c r="P36" s="135"/>
      <c r="Q36" s="135">
        <v>-2850000</v>
      </c>
      <c r="R36" s="135"/>
      <c r="S36" s="135"/>
      <c r="T36" s="135"/>
      <c r="V36" s="135"/>
      <c r="AA36" s="9"/>
      <c r="AB36" s="9"/>
      <c r="AC36" s="9"/>
      <c r="AD36" s="9"/>
      <c r="AE36" s="9"/>
      <c r="AF36" s="9"/>
      <c r="AG36" s="9"/>
      <c r="AH36" s="9"/>
      <c r="AI36" s="9"/>
      <c r="AJ36" s="9"/>
      <c r="AK36" s="9"/>
      <c r="AL36" s="9"/>
      <c r="AM36" s="9"/>
      <c r="AN36" s="9"/>
      <c r="AO36" s="9"/>
      <c r="AP36" s="9"/>
      <c r="AQ36" s="9"/>
      <c r="AR36" s="9"/>
      <c r="AS36" s="9"/>
      <c r="AT36" s="9"/>
    </row>
    <row r="37" spans="1:46" x14ac:dyDescent="0.25">
      <c r="A37" s="110" t="s">
        <v>127</v>
      </c>
      <c r="B37" s="110" t="s">
        <v>125</v>
      </c>
      <c r="C37" s="110" t="s">
        <v>146</v>
      </c>
      <c r="D37" s="110" t="s">
        <v>101</v>
      </c>
      <c r="E37" s="110" t="s">
        <v>96</v>
      </c>
      <c r="F37" s="110" t="s">
        <v>147</v>
      </c>
      <c r="G37" s="110"/>
      <c r="H37" s="110" t="s">
        <v>131</v>
      </c>
      <c r="I37" s="110">
        <v>-503755</v>
      </c>
      <c r="J37" s="110"/>
      <c r="K37" s="110"/>
      <c r="L37" s="110"/>
      <c r="M37" s="110"/>
      <c r="P37" s="135"/>
      <c r="Q37" s="135">
        <v>-503755</v>
      </c>
      <c r="R37" s="135"/>
      <c r="S37" s="135"/>
      <c r="T37" s="135"/>
      <c r="V37" s="135"/>
      <c r="W37" s="110"/>
      <c r="X37" s="110"/>
      <c r="Y37" s="110"/>
      <c r="Z37" s="110"/>
      <c r="AA37" s="9"/>
      <c r="AB37" s="9"/>
      <c r="AC37" s="9"/>
      <c r="AD37" s="9"/>
      <c r="AE37" s="9"/>
      <c r="AF37" s="9"/>
      <c r="AG37" s="9"/>
      <c r="AH37" s="9"/>
      <c r="AI37" s="9"/>
      <c r="AJ37" s="9"/>
      <c r="AK37" s="9"/>
      <c r="AL37" s="9"/>
      <c r="AM37" s="9"/>
      <c r="AN37" s="9"/>
      <c r="AO37" s="9"/>
      <c r="AP37" s="9"/>
      <c r="AQ37" s="9"/>
      <c r="AR37" s="9"/>
      <c r="AS37" s="9"/>
      <c r="AT37" s="9"/>
    </row>
    <row r="38" spans="1:46" x14ac:dyDescent="0.25">
      <c r="A38" s="110" t="s">
        <v>127</v>
      </c>
      <c r="B38" s="110" t="s">
        <v>129</v>
      </c>
      <c r="C38" s="110" t="s">
        <v>126</v>
      </c>
      <c r="D38" s="110" t="s">
        <v>96</v>
      </c>
      <c r="E38" s="110" t="s">
        <v>101</v>
      </c>
      <c r="F38" s="110" t="s">
        <v>127</v>
      </c>
      <c r="G38" s="110"/>
      <c r="H38" s="110" t="s">
        <v>128</v>
      </c>
      <c r="I38" s="110">
        <v>846000</v>
      </c>
      <c r="J38" s="110"/>
      <c r="K38" s="110">
        <v>846000</v>
      </c>
      <c r="L38" s="110"/>
      <c r="M38" s="110"/>
      <c r="P38" s="135"/>
      <c r="Q38" s="135"/>
      <c r="R38" s="135"/>
      <c r="S38" s="135"/>
      <c r="T38" s="135"/>
      <c r="V38" s="135"/>
      <c r="W38" s="110"/>
      <c r="X38" s="110"/>
      <c r="Y38" s="110"/>
      <c r="Z38" s="110"/>
      <c r="AA38" s="9"/>
      <c r="AB38" s="9"/>
      <c r="AC38" s="9"/>
      <c r="AD38" s="9"/>
      <c r="AE38" s="9"/>
      <c r="AF38" s="9"/>
      <c r="AG38" s="9"/>
      <c r="AH38" s="9"/>
      <c r="AI38" s="9"/>
      <c r="AJ38" s="9"/>
      <c r="AK38" s="9"/>
      <c r="AL38" s="9"/>
      <c r="AM38" s="9"/>
      <c r="AN38" s="9"/>
      <c r="AO38" s="9"/>
      <c r="AP38" s="9"/>
      <c r="AQ38" s="9"/>
      <c r="AR38" s="9"/>
      <c r="AS38" s="9"/>
      <c r="AT38" s="9"/>
    </row>
    <row r="39" spans="1:46" x14ac:dyDescent="0.25">
      <c r="A39" s="25" t="s">
        <v>127</v>
      </c>
      <c r="B39" s="25" t="s">
        <v>129</v>
      </c>
      <c r="C39" s="25" t="s">
        <v>132</v>
      </c>
      <c r="D39" s="25" t="s">
        <v>96</v>
      </c>
      <c r="E39" s="25" t="s">
        <v>101</v>
      </c>
      <c r="F39" s="25" t="s">
        <v>127</v>
      </c>
      <c r="H39" s="25" t="s">
        <v>131</v>
      </c>
      <c r="I39" s="25">
        <v>2850000</v>
      </c>
      <c r="P39" s="135"/>
      <c r="Q39" s="135">
        <v>2850000</v>
      </c>
      <c r="R39" s="135"/>
      <c r="S39" s="135"/>
      <c r="T39" s="135"/>
      <c r="V39" s="135"/>
      <c r="AA39" s="9"/>
      <c r="AB39" s="9"/>
      <c r="AC39" s="9"/>
      <c r="AD39" s="9"/>
      <c r="AE39" s="9"/>
      <c r="AF39" s="9"/>
      <c r="AG39" s="9"/>
      <c r="AH39" s="9"/>
      <c r="AI39" s="9"/>
      <c r="AJ39" s="9"/>
      <c r="AK39" s="9"/>
      <c r="AL39" s="9"/>
      <c r="AM39" s="9"/>
      <c r="AN39" s="9"/>
      <c r="AO39" s="9"/>
      <c r="AP39" s="9"/>
      <c r="AQ39" s="9"/>
      <c r="AR39" s="9"/>
      <c r="AS39" s="9"/>
      <c r="AT39" s="9"/>
    </row>
    <row r="40" spans="1:46" x14ac:dyDescent="0.25">
      <c r="A40" s="25" t="s">
        <v>147</v>
      </c>
      <c r="B40" s="25" t="s">
        <v>129</v>
      </c>
      <c r="C40" s="25" t="s">
        <v>146</v>
      </c>
      <c r="D40" s="25" t="s">
        <v>96</v>
      </c>
      <c r="E40" s="25" t="s">
        <v>101</v>
      </c>
      <c r="F40" s="25" t="s">
        <v>147</v>
      </c>
      <c r="H40" s="25" t="s">
        <v>131</v>
      </c>
      <c r="I40" s="25">
        <v>503755</v>
      </c>
      <c r="P40" s="135"/>
      <c r="Q40" s="135">
        <v>503755</v>
      </c>
      <c r="R40" s="135"/>
      <c r="S40" s="135"/>
      <c r="T40" s="135"/>
      <c r="V40" s="135"/>
      <c r="AE40" s="9"/>
      <c r="AF40" s="9"/>
      <c r="AG40" s="9"/>
      <c r="AH40" s="9"/>
      <c r="AI40" s="9"/>
      <c r="AJ40" s="9"/>
      <c r="AK40" s="9"/>
      <c r="AL40" s="9"/>
      <c r="AM40" s="9"/>
      <c r="AN40" s="9"/>
      <c r="AO40" s="9"/>
      <c r="AP40" s="9"/>
      <c r="AQ40" s="9"/>
      <c r="AR40" s="9"/>
      <c r="AS40" s="9"/>
      <c r="AT40" s="9"/>
    </row>
    <row r="41" spans="1:46" x14ac:dyDescent="0.25">
      <c r="A41" s="25" t="s">
        <v>158</v>
      </c>
      <c r="B41" s="25" t="s">
        <v>159</v>
      </c>
      <c r="C41" s="25" t="s">
        <v>160</v>
      </c>
      <c r="D41" s="25" t="s">
        <v>101</v>
      </c>
      <c r="E41" s="25" t="s">
        <v>96</v>
      </c>
      <c r="F41" s="25" t="s">
        <v>147</v>
      </c>
      <c r="G41" s="25" t="s">
        <v>161</v>
      </c>
      <c r="H41" s="25" t="s">
        <v>162</v>
      </c>
      <c r="I41" s="25">
        <v>-14265000</v>
      </c>
      <c r="P41" s="25">
        <v>-14265000</v>
      </c>
      <c r="AQ41" s="9"/>
      <c r="AR41" s="9"/>
      <c r="AS41" s="9"/>
      <c r="AT41" s="9"/>
    </row>
    <row r="42" spans="1:46" x14ac:dyDescent="0.25">
      <c r="H42" s="25"/>
      <c r="AQ42" s="9"/>
      <c r="AR42" s="9"/>
      <c r="AS42" s="9"/>
      <c r="AT42" s="9"/>
    </row>
    <row r="43" spans="1:46" x14ac:dyDescent="0.25">
      <c r="H43" s="25"/>
      <c r="AQ43" s="9"/>
      <c r="AR43" s="9"/>
      <c r="AS43" s="9"/>
      <c r="AT43" s="9"/>
    </row>
    <row r="44" spans="1:46" x14ac:dyDescent="0.25">
      <c r="H44" s="25"/>
      <c r="AQ44" s="9"/>
      <c r="AR44" s="9"/>
      <c r="AS44" s="9"/>
      <c r="AT44" s="9"/>
    </row>
    <row r="45" spans="1:46" x14ac:dyDescent="0.25">
      <c r="H45" s="25"/>
      <c r="AQ45" s="9"/>
      <c r="AR45" s="9"/>
      <c r="AS45" s="9"/>
      <c r="AT45" s="9"/>
    </row>
    <row r="46" spans="1:46" x14ac:dyDescent="0.25">
      <c r="H46" s="25"/>
      <c r="AQ46" s="9"/>
      <c r="AR46" s="9"/>
      <c r="AS46" s="9"/>
      <c r="AT46" s="9"/>
    </row>
    <row r="47" spans="1:46" x14ac:dyDescent="0.25">
      <c r="H47" s="25"/>
      <c r="AQ47" s="9"/>
      <c r="AR47" s="9"/>
      <c r="AS47" s="9"/>
      <c r="AT47" s="9"/>
    </row>
    <row r="48" spans="1:46" x14ac:dyDescent="0.25">
      <c r="H48" s="25"/>
      <c r="AQ48" s="9"/>
      <c r="AR48" s="9"/>
      <c r="AS48" s="9"/>
      <c r="AT48" s="9"/>
    </row>
    <row r="49" spans="8:46" x14ac:dyDescent="0.25">
      <c r="H49" s="25"/>
      <c r="AQ49" s="9"/>
      <c r="AR49" s="9"/>
      <c r="AS49" s="9"/>
      <c r="AT49" s="9"/>
    </row>
    <row r="50" spans="8:46" x14ac:dyDescent="0.25">
      <c r="H50" s="25"/>
      <c r="AQ50" s="9"/>
      <c r="AR50" s="9"/>
      <c r="AS50" s="9"/>
      <c r="AT50" s="9"/>
    </row>
    <row r="51" spans="8:46" x14ac:dyDescent="0.25">
      <c r="AQ51" s="9"/>
      <c r="AR51" s="9"/>
      <c r="AS51" s="9"/>
      <c r="AT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5" t="s">
        <v>14</v>
      </c>
      <c r="C1" s="175"/>
      <c r="D1" s="175"/>
      <c r="E1" s="175"/>
    </row>
    <row r="2" spans="1:5" ht="81.75" customHeight="1" x14ac:dyDescent="0.35">
      <c r="A2" s="1">
        <v>1</v>
      </c>
      <c r="B2" s="174" t="s">
        <v>16</v>
      </c>
      <c r="C2" s="174"/>
      <c r="D2" s="174"/>
      <c r="E2" s="174"/>
    </row>
    <row r="3" spans="1:5" ht="14.45" x14ac:dyDescent="0.3">
      <c r="B3" s="3"/>
      <c r="C3" s="3"/>
      <c r="D3" s="3"/>
      <c r="E3" s="3"/>
    </row>
    <row r="4" spans="1:5" ht="33" customHeight="1" x14ac:dyDescent="0.3">
      <c r="A4" s="1">
        <v>2</v>
      </c>
      <c r="B4" s="174" t="s">
        <v>17</v>
      </c>
      <c r="C4" s="174"/>
      <c r="D4" s="174"/>
      <c r="E4" s="174"/>
    </row>
    <row r="5" spans="1:5" ht="14.45" x14ac:dyDescent="0.3">
      <c r="B5" s="3"/>
      <c r="C5" s="3"/>
      <c r="D5" s="3"/>
      <c r="E5" s="3"/>
    </row>
    <row r="6" spans="1:5" s="17" customFormat="1" ht="114" customHeight="1" x14ac:dyDescent="0.25">
      <c r="A6" s="18">
        <v>3</v>
      </c>
      <c r="B6" s="179" t="s">
        <v>216</v>
      </c>
      <c r="C6" s="179"/>
      <c r="D6" s="179"/>
      <c r="E6" s="179"/>
    </row>
    <row r="7" spans="1:5" s="17" customFormat="1" x14ac:dyDescent="0.25">
      <c r="A7" s="18"/>
      <c r="B7" s="19"/>
      <c r="C7" s="19"/>
      <c r="D7" s="19"/>
      <c r="E7" s="19"/>
    </row>
    <row r="8" spans="1:5" ht="18" customHeight="1" x14ac:dyDescent="0.25">
      <c r="A8" s="1">
        <v>4</v>
      </c>
      <c r="B8" s="178" t="s">
        <v>56</v>
      </c>
      <c r="C8" s="178"/>
      <c r="D8" s="8"/>
      <c r="E8" s="8"/>
    </row>
    <row r="9" spans="1:5" ht="18" customHeight="1" x14ac:dyDescent="0.25">
      <c r="B9" s="177" t="s">
        <v>211</v>
      </c>
      <c r="C9" s="177"/>
      <c r="D9" s="13">
        <v>350000</v>
      </c>
    </row>
    <row r="10" spans="1:5" ht="18" customHeight="1" x14ac:dyDescent="0.25">
      <c r="B10" s="174" t="s">
        <v>214</v>
      </c>
      <c r="C10" s="174"/>
      <c r="D10" s="12">
        <v>-87500</v>
      </c>
    </row>
    <row r="11" spans="1:5" ht="18" customHeight="1" x14ac:dyDescent="0.25">
      <c r="B11" s="177" t="s">
        <v>215</v>
      </c>
      <c r="C11" s="177"/>
      <c r="D11" s="14">
        <f>+D9+D10</f>
        <v>262500</v>
      </c>
    </row>
    <row r="12" spans="1:5" ht="31.5" customHeight="1" x14ac:dyDescent="0.25">
      <c r="B12" s="174" t="s">
        <v>212</v>
      </c>
      <c r="C12" s="174"/>
      <c r="D12" s="11">
        <f>350000*0.25</f>
        <v>87500</v>
      </c>
    </row>
    <row r="13" spans="1:5" ht="36.75" customHeight="1" x14ac:dyDescent="0.25">
      <c r="B13" s="177" t="s">
        <v>213</v>
      </c>
      <c r="C13" s="177"/>
      <c r="D13" s="15">
        <f>SUM(D11:D12)</f>
        <v>350000</v>
      </c>
    </row>
    <row r="14" spans="1:5" s="17" customFormat="1" ht="18" customHeight="1" x14ac:dyDescent="0.25">
      <c r="A14" s="18"/>
      <c r="B14" s="22"/>
      <c r="C14" s="22"/>
      <c r="D14" s="23"/>
    </row>
    <row r="15" spans="1:5" s="17" customFormat="1" ht="84.75" customHeight="1" x14ac:dyDescent="0.25">
      <c r="A15" s="1">
        <v>5</v>
      </c>
      <c r="B15" s="176" t="s">
        <v>57</v>
      </c>
      <c r="C15" s="176"/>
      <c r="D15" s="176"/>
      <c r="E15" s="176"/>
    </row>
    <row r="16" spans="1:5" x14ac:dyDescent="0.25">
      <c r="B16" s="3"/>
      <c r="C16" s="3"/>
      <c r="D16" s="3"/>
      <c r="E16" s="3"/>
    </row>
    <row r="17" spans="1:5" ht="14.45" customHeight="1" x14ac:dyDescent="0.25">
      <c r="A17" s="1">
        <v>6</v>
      </c>
      <c r="B17" s="174" t="s">
        <v>217</v>
      </c>
      <c r="C17" s="174"/>
      <c r="D17" s="174"/>
      <c r="E17" s="174"/>
    </row>
    <row r="18" spans="1:5" x14ac:dyDescent="0.25">
      <c r="B18" s="10"/>
      <c r="C18" s="10"/>
      <c r="D18" s="10"/>
      <c r="E18" s="10"/>
    </row>
    <row r="19" spans="1:5" ht="33" customHeight="1" x14ac:dyDescent="0.25">
      <c r="A19" s="1">
        <v>7</v>
      </c>
      <c r="B19" s="174" t="s">
        <v>37</v>
      </c>
      <c r="C19" s="174"/>
      <c r="D19" s="174"/>
      <c r="E19" s="174"/>
    </row>
    <row r="20" spans="1:5" ht="14.25" customHeight="1" x14ac:dyDescent="0.25">
      <c r="B20" s="7"/>
      <c r="C20" s="7"/>
      <c r="D20" s="7"/>
      <c r="E20" s="7"/>
    </row>
    <row r="21" spans="1:5" ht="47.25" customHeight="1" x14ac:dyDescent="0.25">
      <c r="A21" s="1">
        <v>8</v>
      </c>
      <c r="B21" s="174" t="s">
        <v>38</v>
      </c>
      <c r="C21" s="174"/>
      <c r="D21" s="174"/>
      <c r="E21" s="174"/>
    </row>
    <row r="22" spans="1:5" ht="15" customHeight="1" x14ac:dyDescent="0.25">
      <c r="B22" s="7"/>
      <c r="C22" s="7"/>
      <c r="D22" s="7"/>
      <c r="E22" s="7"/>
    </row>
    <row r="23" spans="1:5" ht="32.25" customHeight="1" x14ac:dyDescent="0.25">
      <c r="A23" s="1">
        <v>9</v>
      </c>
      <c r="B23" s="174" t="s">
        <v>36</v>
      </c>
      <c r="C23" s="174"/>
      <c r="D23" s="174"/>
      <c r="E23" s="174"/>
    </row>
    <row r="24" spans="1:5" ht="15" customHeight="1" x14ac:dyDescent="0.25">
      <c r="B24" s="7"/>
      <c r="C24" s="7"/>
      <c r="D24" s="7"/>
      <c r="E24" s="7"/>
    </row>
    <row r="25" spans="1:5" ht="33" customHeight="1" x14ac:dyDescent="0.25">
      <c r="A25" s="1">
        <v>10</v>
      </c>
      <c r="B25" s="174" t="s">
        <v>39</v>
      </c>
      <c r="C25" s="174"/>
      <c r="D25" s="174"/>
      <c r="E25" s="174"/>
    </row>
    <row r="26" spans="1:5" x14ac:dyDescent="0.25">
      <c r="B26" s="3"/>
      <c r="C26" s="3"/>
      <c r="D26" s="3"/>
      <c r="E26" s="3"/>
    </row>
    <row r="27" spans="1:5" ht="30" customHeight="1" x14ac:dyDescent="0.25">
      <c r="A27" s="1">
        <v>11</v>
      </c>
      <c r="B27" s="174" t="s">
        <v>40</v>
      </c>
      <c r="C27" s="174"/>
      <c r="D27" s="174"/>
      <c r="E27" s="174"/>
    </row>
    <row r="28" spans="1:5" x14ac:dyDescent="0.25">
      <c r="B28" s="3"/>
      <c r="C28" s="3"/>
      <c r="D28" s="3"/>
      <c r="E28" s="3"/>
    </row>
    <row r="29" spans="1:5" ht="31.5" customHeight="1" x14ac:dyDescent="0.25">
      <c r="A29" s="1">
        <v>12</v>
      </c>
      <c r="B29" s="174" t="s">
        <v>41</v>
      </c>
      <c r="C29" s="174"/>
      <c r="D29" s="174"/>
      <c r="E29" s="174"/>
    </row>
    <row r="30" spans="1:5" x14ac:dyDescent="0.25">
      <c r="B30" s="7"/>
      <c r="C30" s="7"/>
      <c r="D30" s="7"/>
      <c r="E30" s="7"/>
    </row>
    <row r="31" spans="1:5" ht="34.5" customHeight="1" x14ac:dyDescent="0.25">
      <c r="A31" s="1">
        <v>13</v>
      </c>
      <c r="B31" s="174" t="s">
        <v>18</v>
      </c>
      <c r="C31" s="174"/>
      <c r="D31" s="174"/>
      <c r="E31" s="174"/>
    </row>
    <row r="32" spans="1:5" ht="16.5" customHeight="1" x14ac:dyDescent="0.25">
      <c r="B32" s="3"/>
      <c r="C32" s="3"/>
      <c r="D32" s="3"/>
      <c r="E32" s="3"/>
    </row>
    <row r="33" spans="1:5" ht="64.5" customHeight="1" x14ac:dyDescent="0.25">
      <c r="A33" s="1">
        <v>14</v>
      </c>
      <c r="B33" s="174" t="s">
        <v>19</v>
      </c>
      <c r="C33" s="174"/>
      <c r="D33" s="174"/>
      <c r="E33" s="174"/>
    </row>
    <row r="34" spans="1:5" ht="14.25" customHeight="1" x14ac:dyDescent="0.25">
      <c r="B34" s="3"/>
      <c r="C34" s="3"/>
      <c r="D34" s="3"/>
      <c r="E34" s="3"/>
    </row>
    <row r="35" spans="1:5" x14ac:dyDescent="0.25">
      <c r="A35" s="1">
        <v>15</v>
      </c>
      <c r="B35" s="178" t="s">
        <v>33</v>
      </c>
      <c r="C35" s="178"/>
      <c r="D35" s="178"/>
      <c r="E35" s="178"/>
    </row>
    <row r="36" spans="1:5" x14ac:dyDescent="0.25">
      <c r="B36" s="16" t="s">
        <v>7</v>
      </c>
      <c r="C36" s="172" t="s">
        <v>20</v>
      </c>
      <c r="D36" s="172"/>
      <c r="E36" s="172"/>
    </row>
    <row r="37" spans="1:5" x14ac:dyDescent="0.25">
      <c r="B37" s="5" t="s">
        <v>21</v>
      </c>
      <c r="C37" s="173" t="s">
        <v>28</v>
      </c>
      <c r="D37" s="173"/>
      <c r="E37" s="173"/>
    </row>
    <row r="38" spans="1:5" x14ac:dyDescent="0.25">
      <c r="B38" s="16" t="s">
        <v>22</v>
      </c>
      <c r="C38" s="172" t="s">
        <v>29</v>
      </c>
      <c r="D38" s="172"/>
      <c r="E38" s="172"/>
    </row>
    <row r="39" spans="1:5" x14ac:dyDescent="0.25">
      <c r="B39" s="5" t="s">
        <v>23</v>
      </c>
      <c r="C39" s="173" t="s">
        <v>32</v>
      </c>
      <c r="D39" s="173"/>
      <c r="E39" s="173"/>
    </row>
    <row r="40" spans="1:5" x14ac:dyDescent="0.25">
      <c r="B40" s="16" t="s">
        <v>9</v>
      </c>
      <c r="C40" s="172" t="s">
        <v>30</v>
      </c>
      <c r="D40" s="172"/>
      <c r="E40" s="172"/>
    </row>
    <row r="41" spans="1:5" x14ac:dyDescent="0.25">
      <c r="B41" s="5" t="s">
        <v>8</v>
      </c>
      <c r="C41" s="173" t="s">
        <v>24</v>
      </c>
      <c r="D41" s="173"/>
      <c r="E41" s="173"/>
    </row>
    <row r="42" spans="1:5" x14ac:dyDescent="0.25">
      <c r="B42" s="16" t="s">
        <v>25</v>
      </c>
      <c r="C42" s="172" t="s">
        <v>26</v>
      </c>
      <c r="D42" s="172"/>
      <c r="E42" s="172"/>
    </row>
    <row r="43" spans="1:5" x14ac:dyDescent="0.25">
      <c r="B43" s="5" t="s">
        <v>27</v>
      </c>
      <c r="C43" s="173" t="s">
        <v>31</v>
      </c>
      <c r="D43" s="173"/>
      <c r="E43" s="173"/>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72" t="s">
        <v>65</v>
      </c>
      <c r="D46" s="172"/>
      <c r="E46" s="172"/>
    </row>
    <row r="47" spans="1:5" s="17" customFormat="1" x14ac:dyDescent="0.25">
      <c r="A47" s="18"/>
      <c r="B47" s="20" t="s">
        <v>50</v>
      </c>
      <c r="C47" s="173" t="s">
        <v>64</v>
      </c>
      <c r="D47" s="173"/>
      <c r="E47" s="173"/>
    </row>
    <row r="48" spans="1:5" s="17" customFormat="1" ht="48.75" customHeight="1" x14ac:dyDescent="0.25">
      <c r="A48" s="18"/>
      <c r="B48" s="16" t="s">
        <v>51</v>
      </c>
      <c r="C48" s="172" t="s">
        <v>67</v>
      </c>
      <c r="D48" s="172"/>
      <c r="E48" s="172"/>
    </row>
    <row r="49" spans="1:5" s="17" customFormat="1" ht="29.25" customHeight="1" x14ac:dyDescent="0.25">
      <c r="A49" s="18"/>
      <c r="B49" s="20" t="s">
        <v>52</v>
      </c>
      <c r="C49" s="173" t="s">
        <v>66</v>
      </c>
      <c r="D49" s="173"/>
      <c r="E49" s="173"/>
    </row>
    <row r="50" spans="1:5" x14ac:dyDescent="0.25">
      <c r="B50" s="5"/>
      <c r="C50" s="6"/>
      <c r="D50" s="6"/>
      <c r="E50" s="6"/>
    </row>
    <row r="51" spans="1:5" ht="94.5" customHeight="1" x14ac:dyDescent="0.25">
      <c r="A51" s="1">
        <v>17</v>
      </c>
      <c r="B51" s="181" t="s">
        <v>218</v>
      </c>
      <c r="C51" s="181"/>
      <c r="D51" s="181"/>
      <c r="E51" s="181"/>
    </row>
    <row r="53" spans="1:5" x14ac:dyDescent="0.25">
      <c r="B53" s="2"/>
    </row>
    <row r="54" spans="1:5" x14ac:dyDescent="0.25">
      <c r="A54" s="180" t="s">
        <v>34</v>
      </c>
      <c r="B54" s="180"/>
      <c r="C54" s="180"/>
      <c r="D54" s="180"/>
      <c r="E54" s="180"/>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2016-02-03T15:13:47Z</cp:lastPrinted>
  <dcterms:created xsi:type="dcterms:W3CDTF">2013-05-11T20:19:37Z</dcterms:created>
  <dcterms:modified xsi:type="dcterms:W3CDTF">2018-12-06T17:58:30Z</dcterms:modified>
</cp:coreProperties>
</file>