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Transactions'!$A$1:$T$42</definedName>
    <definedName name="Query_from_MS_Access_Database" localSheetId="0" hidden="1">'Federal Funds Transactions'!$A$15:$S$18</definedName>
    <definedName name="Query_from_MS_Access_Database" localSheetId="1" hidden="1">'Regional Loans and Transfers'!$A$11:$T$62</definedName>
    <definedName name="Query_from_MS_Access_Database_1" localSheetId="0" hidden="1">'Federal Funds Transactions'!$A$23:$S$32</definedName>
    <definedName name="Query_from_MS_Access_Database_1" localSheetId="1" hidden="1">'Regional Loans and Transfers'!$A$65:$S$116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T16" i="1"/>
  <c r="U16" i="1" s="1"/>
  <c r="U17" i="1" s="1"/>
  <c r="T17" i="1"/>
  <c r="T18" i="1"/>
  <c r="U18" i="1" s="1"/>
  <c r="I24" i="1"/>
  <c r="I25" i="1"/>
  <c r="I26" i="1"/>
  <c r="I27" i="1"/>
  <c r="I28" i="1"/>
  <c r="I29" i="1"/>
  <c r="I30" i="1"/>
  <c r="I31" i="1"/>
  <c r="I32" i="1"/>
  <c r="T24" i="1"/>
  <c r="U24" i="1" s="1"/>
  <c r="T25" i="1"/>
  <c r="T26" i="1"/>
  <c r="U26" i="1" s="1"/>
  <c r="U27" i="1" s="1"/>
  <c r="U28" i="1" s="1"/>
  <c r="U29" i="1" s="1"/>
  <c r="U30" i="1" s="1"/>
  <c r="U31" i="1" s="1"/>
  <c r="U32" i="1" s="1"/>
  <c r="T27" i="1"/>
  <c r="T28" i="1"/>
  <c r="T29" i="1"/>
  <c r="T30" i="1"/>
  <c r="T31" i="1"/>
  <c r="T32" i="1"/>
  <c r="U25" i="1" l="1"/>
  <c r="U11" i="1"/>
  <c r="S11" i="1"/>
  <c r="R11" i="1"/>
  <c r="Q11" i="1"/>
  <c r="P11" i="1"/>
  <c r="O11" i="1"/>
  <c r="N11" i="1"/>
  <c r="U10" i="1"/>
  <c r="S10" i="1"/>
  <c r="R10" i="1"/>
  <c r="Q10" i="1"/>
  <c r="P10" i="1"/>
  <c r="O10" i="1"/>
  <c r="N10" i="1"/>
  <c r="U9" i="1"/>
  <c r="S9" i="1"/>
  <c r="R9" i="1"/>
  <c r="Q9" i="1"/>
  <c r="P9" i="1"/>
  <c r="O9" i="1"/>
  <c r="N9" i="1"/>
  <c r="U8" i="1"/>
  <c r="S8" i="1"/>
  <c r="R8" i="1"/>
  <c r="Q8" i="1"/>
  <c r="P8" i="1"/>
  <c r="O8" i="1"/>
  <c r="N8" i="1"/>
  <c r="U7" i="1"/>
  <c r="S7" i="1"/>
  <c r="R7" i="1"/>
  <c r="Q7" i="1"/>
  <c r="P7" i="1"/>
  <c r="O7" i="1"/>
  <c r="N7" i="1"/>
  <c r="U6" i="1"/>
  <c r="S6" i="1"/>
  <c r="R6" i="1"/>
  <c r="Q6" i="1"/>
  <c r="P6" i="1"/>
  <c r="O6" i="1"/>
  <c r="N6" i="1"/>
  <c r="S39" i="1" l="1"/>
  <c r="N33" i="1"/>
  <c r="O33" i="1"/>
  <c r="P33" i="1"/>
  <c r="Q33" i="1"/>
  <c r="R33" i="1"/>
  <c r="S33" i="1"/>
  <c r="N19" i="1"/>
  <c r="O19" i="1"/>
  <c r="P19" i="1"/>
  <c r="Q19" i="1"/>
  <c r="R19" i="1"/>
  <c r="S19" i="1"/>
  <c r="T4" i="1"/>
  <c r="T5" i="1"/>
  <c r="R35" i="1" l="1"/>
  <c r="N35" i="1"/>
  <c r="P35" i="1"/>
  <c r="S35" i="1"/>
  <c r="O35" i="1"/>
  <c r="Q35" i="1"/>
  <c r="T9" i="1"/>
  <c r="T6" i="1"/>
  <c r="T19" i="1"/>
  <c r="T10" i="1"/>
  <c r="T7" i="1"/>
  <c r="T11" i="1"/>
  <c r="T8" i="1"/>
  <c r="N12" i="1"/>
  <c r="N20" i="1" s="1"/>
  <c r="T35" i="1" l="1"/>
  <c r="T33" i="1"/>
  <c r="R39" i="1" l="1"/>
  <c r="Q39" i="1"/>
  <c r="P39" i="1"/>
  <c r="O39" i="1"/>
  <c r="R12" i="1" l="1"/>
  <c r="R20" i="1" s="1"/>
  <c r="R34" i="1" s="1"/>
  <c r="Q12" i="1"/>
  <c r="Q20" i="1" s="1"/>
  <c r="Q34" i="1" s="1"/>
  <c r="U39" i="1" l="1"/>
  <c r="N39" i="1"/>
  <c r="T39" i="1" s="1"/>
  <c r="Q38" i="1" l="1"/>
  <c r="Q41" i="1" s="1"/>
  <c r="U5" i="1"/>
  <c r="Q40" i="1" l="1"/>
  <c r="D11" i="2"/>
  <c r="D13" i="2" s="1"/>
  <c r="B5" i="3" l="1"/>
  <c r="A7" i="3" l="1"/>
  <c r="P12" i="1" l="1"/>
  <c r="P20" i="1" s="1"/>
  <c r="P34" i="1" l="1"/>
  <c r="P38" i="1" s="1"/>
  <c r="P41" i="1" s="1"/>
  <c r="A1" i="3"/>
  <c r="P40" i="1" l="1"/>
  <c r="O12" i="1"/>
  <c r="O20" i="1" s="1"/>
  <c r="O34" i="1" l="1"/>
  <c r="O38" i="1" s="1"/>
  <c r="O41" i="1" s="1"/>
  <c r="S12" i="1"/>
  <c r="S20" i="1" s="1"/>
  <c r="S34" i="1" s="1"/>
  <c r="S38" i="1" s="1"/>
  <c r="S40" i="1" l="1"/>
  <c r="S41" i="1"/>
  <c r="O40" i="1"/>
  <c r="T12" i="1"/>
  <c r="T20" i="1" s="1"/>
  <c r="T34" i="1" s="1"/>
  <c r="N34" i="1"/>
  <c r="N38" i="1" s="1"/>
  <c r="U12" i="1"/>
  <c r="U38" i="1" l="1"/>
  <c r="N41" i="1"/>
  <c r="R38" i="1"/>
  <c r="R41" i="1" s="1"/>
  <c r="N40" i="1"/>
  <c r="T38" i="1" l="1"/>
  <c r="R40" i="1"/>
  <c r="T40" i="1" s="1"/>
  <c r="U40" i="1" l="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5-NACOG LEDGER`.`ADOT#`, `05-NACOG LEDGER`.`TIP#`, `05-NACOG LEDGER`.Sponsor, `05-NACOG LEDGER`.`Action/15`, `05-NACOG LEDGER`.Location, `05-NACOG LEDGER`.RTE, `05-NACOG LEDGER`.SEC, `05-NACOG LEDGER`.SEQ, `05-NACOG LEDGER`.`PB Expected`, `05-NACOG LEDGER`.`PB Received`, `05-NACOG LEDGER`.`PF Transmitted`, `05-NACOG LEDGER`.`Finance Authorization`, `05-NACOG LEDGER`.`HURF EXCHANGE` AS `HURF EX`, `05-NACOG LEDGER`.HSIP, `05-NACOG LEDGER`.SPR, `05-NACOG LEDGER`.`STP &lt;5`, `05-NACOG LEDGER`.`STP 5-200`, `05-NACOG LEDGER`.`STP OTHER`_x000d__x000a_FROM `G:\FMS\RESOURCE\ACCESS\010614 PBPF\011614 PBPF front.accdb`.`05-NACOG LEDGER` `05-NACOG LEDGER`_x000d__x000a_WHERE (`05-NACOG LEDGER`.`ADOT#`&lt;&gt;'Trick') AND (`05-NACOG LEDGER`.`Finance Authorization`&gt;=#10/1/2018# AND `05-NACOG LEDGER`.`Finance Authorization`&lt;=#9/30/2019#)_x000d__x000a_ORDER BY `05-NACOG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5-NACOGGqryLedgerApportsCrosstab`.`Transaction Year`, `05-NACOGGqryLedgerApportsCrosstab`.`Transaction Type`, `05-NACOGGqryLedgerApportsCrosstab`.Number, `05-NACOGGqryLedgerApportsCrosstab`.`From`, `05-NACOGGqryLedgerApportsCrosstab`.To, `05-NACOGGqryLedgerApportsCrosstab`.`Repayment Year`, `05-NACOGGqryLedgerApportsCrosstab`.Project8, `05-NACOGGqryLedgerApportsCrosstab`.Notes, `05-NACOGGqryLedgerApportsCrosstab`.Total, `05-NACOGGqryLedgerApportsCrosstab`.`HURF Exchange`, `05-NACOGGqryLedgerApportsCrosstab`.HSIP, `05-NACOGGqryLedgerApportsCrosstab`.PLAN, `05-NACOGGqryLedgerApportsCrosstab`.SPR, `05-NACOGGqryLedgerApportsCrosstab`.`STP &lt;5`, `05-NACOGGqryLedgerApportsCrosstab`.`STP 5-2`, `05-NACOGGqryLedgerApportsCrosstab`.`STP Flex`, `05-NACOGGqryLedgerApportsCrosstab`.`TAP &lt;5`, `05-NACOGGqryLedgerApportsCrosstab`.`TAP 5-2`, `05-NACOGGqryLedgerApportsCrosstab`.`TAP Flex`_x000d__x000a_FROM `G:\FMS\RESOURCE\ACCESS\010614 PBPF\011614 PBPF front.accdb`.`05-NACOGGqryLedgerApportsCrosstab` `05-NACOGGqryLedgerApportsCrosstab`_x000d__x000a_WHERE (`05-NACOGG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5-NACOGGqryLedgerOACrosstab`.`Transaction Year`, `05-NACOGGqryLedgerOACrosstab`.`Transaction Type`, `05-NACOGGqryLedgerOACrosstab`.Number, `05-NACOGGqryLedgerOACrosstab`.`From`, `05-NACOGGqryLedgerOACrosstab`.To, `05-NACOGGqryLedgerOACrosstab`.`Repayment Year`, `05-NACOGGqryLedgerOACrosstab`.Project8, `05-NACOGGqryLedgerOACrosstab`.Notes, `05-NACOGGqryLedgerOACrosstab`.Total, `05-NACOGGqryLedgerOACrosstab`.`HURF Exchange`, `05-NACOGGqryLedgerOACrosstab`.HSIP, `05-NACOGGqryLedgerOACrosstab`.PLAN, `05-NACOGGqryLedgerOACrosstab`.SPR, `05-NACOGGqryLedgerOACrosstab`.`STP &lt;5`, `05-NACOGGqryLedgerOACrosstab`.`STP 5-2`, `05-NACOGGqryLedgerOACrosstab`.`STP Flex`, `05-NACOGGqryLedgerOACrosstab`.`TAP &lt;5`, `05-NACOGGqryLedgerOACrosstab`.`TAP 5-2`, `05-NACOGGqryLedgerOACrosstab`.`TAP Flex`_x000d__x000a_FROM `G:\FMS\RESOURCE\ACCESS\010614 PBPF\011614 PBPF front.accdb`.`05-NACOGGqryLedgerOACrosstab` `05-NACOGGqryLedgerOACrosstab`_x000d__x000a_WHERE (`05-NACOGG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5-NACOG LEDGER`.`ADOT#`, `05-NACOG LEDGER`.`TIP#`, `05-NACOG LEDGER`.Sponsor, `05-NACOG LEDGER`.`Action/15`, `05-NACOG LEDGER`.Location, `05-NACOG LEDGER`.RTE, `05-NACOG LEDGER`.SEC, `05-NACOG LEDGER`.SEQ, `05-NACOG LEDGER`.`PB Expected`, `05-NACOG LEDGER`.`PB Received`, `05-NACOG LEDGER`.`PF Transmitted`, `05-NACOG LEDGER`.`Finance Authorization`, `05-NACOG LEDGER`.`HURF EXCHANGE` AS `HURF EX`, `05-NACOG LEDGER`.HSIP, `05-NACOG LEDGER`.SPR, `05-NACOG LEDGER`.`STP &lt;5`, `05-NACOG LEDGER`.`STP 5-200`, `05-NACOG LEDGER`.`STP OTHER`_x000d__x000a_FROM `G:\FMS\RESOURCE\ACCESS\010614 PBPF\011614 PBPF front.accdb`.`05-NACOG LEDGER` `05-NACOG LEDGER`_x000d__x000a_WHERE (`05-NACOG LEDGER`.`ADOT#` Not Like 'Trick') AND (`05-NACOG LEDGER`.`Finance Authorization` Is Null) AND ((`05-NACOG LEDGER`.`PB Expected`&gt;=#10/1/2018# and `PB Expected`&lt;=#9/30/2019#) OR (`05-NACOG LEDGER`.`PB Received`&gt;=#10/1/2018# and `PB Received`&lt;=#9/30/2019#) OR (`05-NACOG LEDGER`.`PF Transmitted`&gt;=#10/1/2018# and `PF Transmitted`&lt;=#9/30/2019#))_x000d__x000a_ORDER BY `05-NACOG LEDGER`.`ADOT#`"/>
  </connection>
</connections>
</file>

<file path=xl/sharedStrings.xml><?xml version="1.0" encoding="utf-8"?>
<sst xmlns="http://schemas.openxmlformats.org/spreadsheetml/2006/main" count="1028" uniqueCount="278">
  <si>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</si>
  <si>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</si>
  <si>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</si>
  <si>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</si>
  <si>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</si>
  <si>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</si>
  <si>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</si>
  <si>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</si>
  <si>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</si>
  <si>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</si>
  <si>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</si>
  <si>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</si>
  <si>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</si>
  <si>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</si>
  <si>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</si>
  <si>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</si>
  <si>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</si>
  <si>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</si>
  <si>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</si>
  <si>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</si>
  <si>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</si>
  <si>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</si>
  <si>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</si>
  <si>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</si>
  <si>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</si>
  <si>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</si>
  <si>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</si>
  <si>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</si>
  <si>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</si>
  <si>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</si>
  <si>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</si>
  <si>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</si>
  <si>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</si>
  <si>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</si>
  <si>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</si>
  <si>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</si>
  <si>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</si>
  <si>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</si>
  <si>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</si>
  <si>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</si>
  <si>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</si>
  <si>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</si>
  <si>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</si>
  <si>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</si>
  <si>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</si>
  <si>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</si>
  <si>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</si>
  <si>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</si>
  <si>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</si>
  <si>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</si>
  <si>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</si>
  <si>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</si>
  <si>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</si>
  <si>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</si>
  <si>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</si>
  <si>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</si>
  <si>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</si>
  <si>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</si>
  <si>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</si>
  <si>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</si>
  <si>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</si>
  <si>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</si>
  <si>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</si>
  <si>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</si>
  <si>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</si>
  <si>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</si>
  <si>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</si>
  <si>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</si>
  <si>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</si>
  <si>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</si>
  <si>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</si>
  <si>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</si>
  <si>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</si>
  <si>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</si>
  <si>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</si>
  <si>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</si>
  <si>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</si>
  <si>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</si>
  <si>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</si>
  <si>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</si>
  <si>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</si>
  <si>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</si>
  <si>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</si>
  <si>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</si>
  <si>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</si>
  <si>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</si>
  <si>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</si>
  <si>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</si>
  <si>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</si>
  <si>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</si>
  <si>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</si>
  <si>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</si>
  <si>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</si>
  <si>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</si>
  <si>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</si>
  <si>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</si>
  <si>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</si>
  <si>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</si>
  <si>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</si>
  <si>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</si>
  <si>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</si>
  <si>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</si>
  <si>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</si>
  <si>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</si>
  <si>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</si>
  <si>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</si>
  <si>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</si>
  <si>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</si>
  <si>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</si>
  <si>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</si>
  <si>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</si>
  <si>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</si>
  <si>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</si>
  <si>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</si>
  <si>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</si>
  <si>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</si>
  <si>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FMPO</t>
  </si>
  <si>
    <t>Regional Safety Plan</t>
  </si>
  <si>
    <t>2013</t>
  </si>
  <si>
    <t>CAG</t>
  </si>
  <si>
    <t>SUNMPO</t>
  </si>
  <si>
    <t>WACOG</t>
  </si>
  <si>
    <t>NACOGCAG-17L1</t>
  </si>
  <si>
    <t>NACOG</t>
  </si>
  <si>
    <t>SZ15001C</t>
  </si>
  <si>
    <t>NACOG STP Loan to CAG</t>
  </si>
  <si>
    <t>Pinal County Safety Study</t>
  </si>
  <si>
    <t>0</t>
  </si>
  <si>
    <t>N/A</t>
  </si>
  <si>
    <t>Northern Arizona Council of Governments</t>
  </si>
  <si>
    <t>2011</t>
  </si>
  <si>
    <t>NACOG002</t>
  </si>
  <si>
    <t>SS942</t>
  </si>
  <si>
    <t>2011 HSIP Loan to ADOT</t>
  </si>
  <si>
    <t>2012</t>
  </si>
  <si>
    <t>NACOG005</t>
  </si>
  <si>
    <t>2012 STP loan to WACOG</t>
  </si>
  <si>
    <t>NACOG006</t>
  </si>
  <si>
    <t>STP loan to ADOT</t>
  </si>
  <si>
    <t>NACOG001</t>
  </si>
  <si>
    <t>2013 STP loan to ADOT</t>
  </si>
  <si>
    <t>NACOG004</t>
  </si>
  <si>
    <t>2013 STP loan to SEAGO</t>
  </si>
  <si>
    <t>Repayment from ADOT for 2011 HSIP loan</t>
  </si>
  <si>
    <t>NACOG007</t>
  </si>
  <si>
    <t>2013 HSIP ADOT TRANSFER TO NACOG</t>
  </si>
  <si>
    <t>NACOG-LP01</t>
  </si>
  <si>
    <t>NACOG LAPSING FUNDS - FFY14</t>
  </si>
  <si>
    <t>NACOG14-L001</t>
  </si>
  <si>
    <t>2016-2019</t>
  </si>
  <si>
    <t>FY 14 LOAN FROM NACOG TO MAG</t>
  </si>
  <si>
    <t>NACOG14-L002</t>
  </si>
  <si>
    <t>CYMPO</t>
  </si>
  <si>
    <t>2014 LOAN FROM NACOG TO CYMPO FOR SIGN REPLACEMENT</t>
  </si>
  <si>
    <t>NACOG14-L003</t>
  </si>
  <si>
    <t>2015-2017</t>
  </si>
  <si>
    <t>2014 LOAN FROM NACOG TO ADOT</t>
  </si>
  <si>
    <t>NACOG14-L004</t>
  </si>
  <si>
    <t>YMPO</t>
  </si>
  <si>
    <t>2014 LOAN FROM NACOG TO YMPO</t>
  </si>
  <si>
    <t>Repayment of 2013 STP loan to SEAGO</t>
  </si>
  <si>
    <t>Repayment from ADOT of 2012 STP loan</t>
  </si>
  <si>
    <t>NACOG14-T001</t>
  </si>
  <si>
    <t>NACOG FY 14  HSIP TRANSFER TO ADOT</t>
  </si>
  <si>
    <t>NACOG-15L1</t>
  </si>
  <si>
    <t>NACOG Loan to SCMPO</t>
  </si>
  <si>
    <t>Repayment from ADOT of 2013 STP loan</t>
  </si>
  <si>
    <t>Repayment from WACOG for 2012 STP loan</t>
  </si>
  <si>
    <t>2015 REPAYMENT FROM CYMPO  TO NACOG FOR SIGN REPLACEMENT</t>
  </si>
  <si>
    <t>NACOGCYMPO-17</t>
  </si>
  <si>
    <t>Toltec Rd</t>
  </si>
  <si>
    <t>NACOG STP Loan to CYMPO</t>
  </si>
  <si>
    <t>NACOGSCMPO-17</t>
  </si>
  <si>
    <t>NACOG STP Loan to SCMPO</t>
  </si>
  <si>
    <t>CYMPONACOG-17T1</t>
  </si>
  <si>
    <t>CYMPO HSIP transfer to NACOG</t>
  </si>
  <si>
    <t>FMPONACOG-17T1</t>
  </si>
  <si>
    <t>FMPO HSIP Transfer to NACOG</t>
  </si>
  <si>
    <t>NACOGADOT-17T1</t>
  </si>
  <si>
    <t>SL71101C</t>
  </si>
  <si>
    <t>NACOG STBGP Transfer to ADOT</t>
  </si>
  <si>
    <t>FY18T1-NACOGADOT</t>
  </si>
  <si>
    <t>H891801C/YYV 18-03</t>
  </si>
  <si>
    <t>FY18T2-NACOGADOT</t>
  </si>
  <si>
    <t>H869901C / CMV 16-007</t>
  </si>
  <si>
    <t>REPAYMENT OF 2014 LOAN FROM NACOG TO YMPO</t>
  </si>
  <si>
    <t>PNG1901P</t>
  </si>
  <si>
    <t>NACOG 2019 WP - SPR</t>
  </si>
  <si>
    <t>NAC</t>
  </si>
  <si>
    <t>T005801C</t>
  </si>
  <si>
    <t>The  OA to apportionments for FFY 18 is 94.9%.  The rate for calculations is 0.949.</t>
  </si>
  <si>
    <t>PLAN</t>
  </si>
  <si>
    <t>STP Flex</t>
  </si>
  <si>
    <t>TAP &lt;5</t>
  </si>
  <si>
    <t>TAP 5-2</t>
  </si>
  <si>
    <t>TAP Flex</t>
  </si>
  <si>
    <t>STP 5-200</t>
  </si>
  <si>
    <t>HURF Exchange</t>
  </si>
  <si>
    <t>TAP 5-3</t>
  </si>
  <si>
    <t>HURF EX</t>
  </si>
  <si>
    <t>VARIOUS</t>
  </si>
  <si>
    <t>PINETOP-LAKESIDE</t>
  </si>
  <si>
    <t>PLS</t>
  </si>
  <si>
    <t>HFX</t>
  </si>
  <si>
    <t>T017701D</t>
  </si>
  <si>
    <t>NACOGADOT-18L1</t>
  </si>
  <si>
    <t>VARIOUS STBGP</t>
  </si>
  <si>
    <t>NACOG STBGP Loan to ADOT</t>
  </si>
  <si>
    <t>NACOGADOT-18L2</t>
  </si>
  <si>
    <t>SNOWFLAKE</t>
  </si>
  <si>
    <t>SNW</t>
  </si>
  <si>
    <t>ADOTNACOG-18T1</t>
  </si>
  <si>
    <t>ADOT HURF EX Transfer to NACOG</t>
  </si>
  <si>
    <t>NACOG STP 5-2 Transfer to ADOT</t>
  </si>
  <si>
    <t>NACOGSEAGO-19L1</t>
  </si>
  <si>
    <t>2020</t>
  </si>
  <si>
    <t>SZ02701C</t>
  </si>
  <si>
    <t>NACOG STP Loan to SEAGO</t>
  </si>
  <si>
    <t>ADOTNACOG-18T2</t>
  </si>
  <si>
    <t xml:space="preserve">APACHE COUNTY                 </t>
  </si>
  <si>
    <t>AAP</t>
  </si>
  <si>
    <t>SPR 19-002</t>
  </si>
  <si>
    <t>NACOGADOT-19L1</t>
  </si>
  <si>
    <t>2023</t>
  </si>
  <si>
    <t>FY23 FUND BALANCE</t>
  </si>
  <si>
    <t>NACOG STP Loan to ADOT</t>
  </si>
  <si>
    <t>Federal Fiscal Year 2019</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</si>
  <si>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</si>
  <si>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</si>
  <si>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</si>
  <si>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</si>
  <si>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</si>
  <si>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</si>
  <si>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</si>
  <si>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</si>
  <si>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</si>
  <si>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</si>
  <si>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rFont val="Calibri"/>
        <family val="2"/>
        <scheme val="minor"/>
      </rPr>
      <t xml:space="preserve">Carried forward apportionments and obligation authority lapse pursuant to the following schedule:
</t>
    </r>
    <r>
      <rPr>
        <strike/>
        <sz val="8"/>
        <rFont val="Wingdings"/>
        <charset val="2"/>
      </rPr>
      <t>t</t>
    </r>
    <r>
      <rPr>
        <strike/>
        <sz val="11"/>
        <rFont val="Calibri"/>
        <family val="2"/>
        <scheme val="minor"/>
      </rPr>
      <t xml:space="preserve">   Carried forward from FFY 11 and earlier - lapses 6/30/13
</t>
    </r>
    <r>
      <rPr>
        <strike/>
        <sz val="8"/>
        <rFont val="Wingdings"/>
        <charset val="2"/>
      </rPr>
      <t>t</t>
    </r>
    <r>
      <rPr>
        <strike/>
        <sz val="11"/>
        <rFont val="Calibri"/>
        <family val="2"/>
        <scheme val="minor"/>
      </rPr>
      <t xml:space="preserve">   FFY 12 funds - lapses 6/30/13
</t>
    </r>
    <r>
      <rPr>
        <strike/>
        <sz val="8"/>
        <rFont val="Wingdings"/>
        <charset val="2"/>
      </rPr>
      <t>t</t>
    </r>
    <r>
      <rPr>
        <strike/>
        <sz val="11"/>
        <rFont val="Calibri"/>
        <family val="2"/>
        <scheme val="minor"/>
      </rPr>
      <t xml:space="preserve">   FFY 13 funds - lapses 6/30/14
</t>
    </r>
    <r>
      <rPr>
        <strike/>
        <sz val="8"/>
        <rFont val="Wingdings"/>
        <charset val="2"/>
      </rPr>
      <t xml:space="preserve">t </t>
    </r>
    <r>
      <rPr>
        <strike/>
        <sz val="11"/>
        <rFont val="Calibri"/>
        <family val="2"/>
        <scheme val="minor"/>
      </rPr>
      <t xml:space="preserve">Funds from FFY 14 and thereafter - lapse annually on 6/30 of the year of allocation
</t>
    </r>
  </si>
  <si>
    <t>CCN 21-002C</t>
  </si>
  <si>
    <t>COCONINO CO-NACOG</t>
  </si>
  <si>
    <t>MORMON LAKE RD MILL &amp; OVERLAY</t>
  </si>
  <si>
    <t>CCN</t>
  </si>
  <si>
    <t>TBD</t>
  </si>
  <si>
    <t>LTAP - FFY19</t>
  </si>
  <si>
    <t>PNG2001P</t>
  </si>
  <si>
    <t>NACOG 2020 WP - SPR</t>
  </si>
  <si>
    <t>020</t>
  </si>
  <si>
    <t>T000801C</t>
  </si>
  <si>
    <t>WMS 19-002C</t>
  </si>
  <si>
    <t>WILLIAMS</t>
  </si>
  <si>
    <t>GRAND CANYON BLVD, EDISON AVE - FRANKLIN AVE</t>
  </si>
  <si>
    <t>WIL</t>
  </si>
  <si>
    <t>T001101C</t>
  </si>
  <si>
    <t>PTL 18-006C</t>
  </si>
  <si>
    <t>BILLY CREEK PEDESTRIAN BRIDGE</t>
  </si>
  <si>
    <t>T004401C</t>
  </si>
  <si>
    <t>AAP 21-004C</t>
  </si>
  <si>
    <t>STANFORD RD - SR 61 TO RESA RANCH RD</t>
  </si>
  <si>
    <t>205</t>
  </si>
  <si>
    <t>T007201C</t>
  </si>
  <si>
    <t>SNW 20-003C</t>
  </si>
  <si>
    <t>SNOWFLAKE BLVD</t>
  </si>
  <si>
    <t>T008801C</t>
  </si>
  <si>
    <t>WIN 17-012C</t>
  </si>
  <si>
    <t>WINSLOW</t>
  </si>
  <si>
    <t>HISTORIC ROUTE 66;  SNIDER AVE - SIMMONS AVE</t>
  </si>
  <si>
    <t>WIN</t>
  </si>
  <si>
    <t>RLTAP24P</t>
  </si>
  <si>
    <t>094</t>
  </si>
  <si>
    <t>A</t>
  </si>
  <si>
    <t>PNG1701P</t>
  </si>
  <si>
    <t>NACOG 2017 WP - SPR</t>
  </si>
  <si>
    <t>017</t>
  </si>
  <si>
    <t>LOCAL LEDGERS</t>
  </si>
  <si>
    <t>SH63001C</t>
  </si>
  <si>
    <t>NAC 15-012C</t>
  </si>
  <si>
    <t>NACOG Regional Sign Project</t>
  </si>
  <si>
    <t>201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</si>
</sst>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rgb="FFFF0000"/>
      <name val="Calibri"/>
      <family val="2"/>
      <scheme val="minor"/>
    </font>
    <font>
      <strike/>
      <sz val="11"/>
      <name val="Calibri"/>
      <family val="2"/>
      <scheme val="minor"/>
    </font>
    <font>
      <strike/>
      <sz val="8"/>
      <name val="Wingdings"/>
      <charset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2">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3"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xf numFmtId="40" fontId="24" fillId="0" borderId="0" xfId="0" applyNumberFormat="1" applyFont="1" applyAlignment="1">
      <alignment horizontal="left" vertical="top" wrapText="1"/>
    </xf>
    <xf numFmtId="43" fontId="32" fillId="0" borderId="0" xfId="3" applyFont="1" applyBorder="1"/>
    <xf numFmtId="43" fontId="32" fillId="0" borderId="0" xfId="3" applyFont="1"/>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6" fillId="0" borderId="8" xfId="1" applyNumberFormat="1" applyFont="1" applyFill="1" applyBorder="1" applyAlignment="1">
      <alignment horizontal="center" vertical="center" wrapText="1"/>
    </xf>
    <xf numFmtId="40" fontId="23" fillId="0" borderId="21"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40" fontId="24" fillId="0" borderId="0" xfId="0" applyNumberFormat="1" applyFont="1" applyAlignment="1">
      <alignment horizontal="center" vertical="top" wrapText="1"/>
    </xf>
    <xf numFmtId="40" fontId="24" fillId="0" borderId="0" xfId="0" applyNumberFormat="1" applyFont="1" applyBorder="1" applyAlignment="1">
      <alignment vertical="top" wrapText="1"/>
    </xf>
    <xf numFmtId="164" fontId="24" fillId="0" borderId="0" xfId="0" applyNumberFormat="1" applyFont="1" applyBorder="1" applyAlignment="1">
      <alignment horizontal="center" vertical="top" wrapText="1"/>
    </xf>
    <xf numFmtId="43" fontId="33" fillId="0" borderId="0" xfId="3" applyFont="1"/>
    <xf numFmtId="43" fontId="34" fillId="0" borderId="0" xfId="3" applyFont="1"/>
    <xf numFmtId="43" fontId="35" fillId="0" borderId="0" xfId="3" applyFont="1"/>
    <xf numFmtId="43" fontId="36" fillId="0" borderId="0" xfId="3" applyFont="1"/>
    <xf numFmtId="40" fontId="17" fillId="0" borderId="0" xfId="0" applyNumberFormat="1" applyFont="1" applyAlignment="1">
      <alignment vertical="top" wrapText="1"/>
    </xf>
    <xf numFmtId="40" fontId="17"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7" fillId="0" borderId="0" xfId="0" applyFont="1" applyBorder="1" applyAlignment="1">
      <alignment horizontal="left" vertical="top" wrapText="1"/>
    </xf>
    <xf numFmtId="0" fontId="0" fillId="0" borderId="0" xfId="0" applyAlignment="1">
      <alignment horizontal="left" vertical="top"/>
    </xf>
    <xf numFmtId="0" fontId="39"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40" fontId="42" fillId="0" borderId="0" xfId="0" applyNumberFormat="1" applyFont="1" applyAlignment="1">
      <alignment vertical="top" wrapText="1"/>
    </xf>
    <xf numFmtId="40" fontId="43" fillId="0" borderId="0" xfId="0" applyNumberFormat="1" applyFont="1" applyAlignment="1">
      <alignment horizontal="left" vertical="top" wrapText="1"/>
    </xf>
    <xf numFmtId="40" fontId="42" fillId="0" borderId="0" xfId="0" applyNumberFormat="1" applyFont="1" applyAlignment="1">
      <alignment horizontal="center" vertical="top" wrapText="1"/>
    </xf>
    <xf numFmtId="40" fontId="43" fillId="0" borderId="0" xfId="0" applyNumberFormat="1" applyFont="1" applyAlignment="1">
      <alignment horizontal="center" vertical="top" wrapText="1"/>
    </xf>
    <xf numFmtId="164" fontId="43" fillId="0" borderId="0" xfId="0" applyNumberFormat="1" applyFont="1" applyAlignment="1">
      <alignment horizontal="center" vertical="top" wrapText="1"/>
    </xf>
    <xf numFmtId="164" fontId="43" fillId="0" borderId="0" xfId="0" applyNumberFormat="1" applyFont="1" applyAlignment="1">
      <alignment horizontal="center" vertical="top"/>
    </xf>
    <xf numFmtId="40" fontId="43" fillId="0" borderId="0" xfId="0" applyNumberFormat="1" applyFont="1" applyAlignment="1">
      <alignment vertical="top"/>
    </xf>
    <xf numFmtId="40" fontId="42" fillId="0" borderId="0" xfId="0" applyNumberFormat="1" applyFont="1" applyAlignment="1">
      <alignment vertical="top"/>
    </xf>
    <xf numFmtId="14" fontId="42" fillId="0" borderId="0" xfId="0" applyNumberFormat="1" applyFont="1" applyAlignment="1">
      <alignment vertical="top" wrapText="1"/>
    </xf>
    <xf numFmtId="40" fontId="43" fillId="0" borderId="0" xfId="0" applyNumberFormat="1" applyFont="1" applyAlignment="1">
      <alignment vertical="top" wrapText="1"/>
    </xf>
  </cellXfs>
  <cellStyles count="4">
    <cellStyle name="Comma" xfId="3" builtinId="3"/>
    <cellStyle name="Currency" xfId="1" builtinId="4"/>
    <cellStyle name="Normal" xfId="0" builtinId="0"/>
    <cellStyle name="Normal_Notes" xfId="2"/>
  </cellStyles>
  <dxfs count="114">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3"/>
      <tableStyleElement type="firstRowStripe" dxfId="112"/>
    </tableStyle>
    <tableStyle name="Table Style 2" pivot="0" count="1">
      <tableStyleElement type="firstRowStripe" dxfId="111"/>
    </tableStyle>
    <tableStyle name="Table Style 3" pivot="0" count="1">
      <tableStyleElement type="firstRowStripe" dxfId="110"/>
    </tableStyle>
    <tableStyle name="Table Style 4" pivot="0" count="3">
      <tableStyleElement type="wholeTable" dxfId="109"/>
      <tableStyleElement type="headerRow" dxfId="108"/>
      <tableStyleElement type="firstRowStripe" dxfId="10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2" unboundColumnsRight="2">
    <queryTableFields count="21">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1" dataBound="0" tableColumnId="21"/>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SPR" tableColumnId="15"/>
      <queryTableField id="16" name="STP &lt;5" tableColumnId="16"/>
      <queryTableField id="17" name="STP 5-200" tableColumnId="17"/>
      <queryTableField id="18" name="STP OTHER" tableColumnId="18"/>
      <queryTableField id="20" dataBound="0" tableColumnId="19"/>
      <queryTableField id="19" dataBound="0" tableColumnId="20"/>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U12" totalsRowShown="0" headerRowDxfId="106" dataDxfId="104" headerRowBorderDxfId="105" tableBorderDxfId="103" totalsRowBorderDxfId="102" headerRowCellStyle="Currency">
  <autoFilter ref="M3:U12"/>
  <tableColumns count="9">
    <tableColumn id="1" name="Description" dataDxfId="101"/>
    <tableColumn id="2" name="HURF EX" dataDxfId="100"/>
    <tableColumn id="4" name="HSIP/3" dataDxfId="99"/>
    <tableColumn id="5" name="SPR /4" dataDxfId="98"/>
    <tableColumn id="3" name="STP &lt;5" dataDxfId="97"/>
    <tableColumn id="9" name="STP 5-200" dataDxfId="96"/>
    <tableColumn id="6" name="STP other" dataDxfId="95"/>
    <tableColumn id="7" name="Total" dataDxfId="94"/>
    <tableColumn id="8" name="FFY OBLIGATION AUTHORITY /2" dataDxfId="93"/>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U18" tableType="queryTable" totalsRowShown="0" headerRowDxfId="92" dataDxfId="91" tableBorderDxfId="90">
  <autoFilter ref="A15:U18"/>
  <tableColumns count="21">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85"/>
    <tableColumn id="6" uniqueName="6" name="RTE" queryTableFieldId="6" dataDxfId="84"/>
    <tableColumn id="7" uniqueName="7" name="SEC" queryTableFieldId="7" dataDxfId="83"/>
    <tableColumn id="8" uniqueName="8" name="SEQ" queryTableFieldId="8" dataDxfId="82"/>
    <tableColumn id="21" uniqueName="21" name="Fed #" queryTableFieldId="21" dataDxfId="81">
      <calculatedColumnFormula>CONCATENATE(Table_Query_from_MS_Access_Database8[RTE],Table_Query_from_MS_Access_Database8[SEC],Table_Query_from_MS_Access_Database8[SEQ])</calculatedColumnFormula>
    </tableColumn>
    <tableColumn id="9" uniqueName="9" name="PB Expected" queryTableFieldId="9" dataDxfId="80"/>
    <tableColumn id="10" uniqueName="10" name="PB Received" queryTableFieldId="10" dataDxfId="79"/>
    <tableColumn id="11" uniqueName="11" name="PF Transmitted" queryTableFieldId="11" dataDxfId="78"/>
    <tableColumn id="12" uniqueName="12" name="Finance Authorization" queryTableFieldId="12" dataDxfId="77"/>
    <tableColumn id="13" uniqueName="13" name="HURF EX" queryTableFieldId="13" dataDxfId="76"/>
    <tableColumn id="14" uniqueName="14" name="HSIP" queryTableFieldId="14" dataDxfId="75"/>
    <tableColumn id="15" uniqueName="15" name="SPR" queryTableFieldId="15" dataDxfId="74"/>
    <tableColumn id="16" uniqueName="16" name="STP &lt;5" queryTableFieldId="16" dataDxfId="73"/>
    <tableColumn id="17" uniqueName="17" name="STP 5-200" queryTableFieldId="17" dataDxfId="72"/>
    <tableColumn id="18" uniqueName="18" name="STP OTHER" queryTableFieldId="18" dataDxfId="71"/>
    <tableColumn id="19" uniqueName="19" name="TOTAL OF AMOUNT" queryTableFieldId="20" dataDxfId="70">
      <calculatedColumnFormula>SUM(Table_Query_from_MS_Access_Database8[[#This Row],[HURF EX]:[STP OTHER]])</calculatedColumnFormula>
    </tableColumn>
    <tableColumn id="20" uniqueName="20" name="DECLINING BALANCE OA" queryTableFieldId="19" dataDxfId="1">
      <calculatedColumnFormula>U12-Table_Query_from_MS_Access_Database8[TOTAL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3:U32" tableType="queryTable" totalsRowShown="0" headerRowDxfId="69" dataDxfId="68">
  <autoFilter ref="A23:U32"/>
  <tableColumns count="21">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21" uniqueName="21" name="Fed #" queryTableFieldId="21" dataDxfId="52">
      <calculatedColumnFormula>CONCATENATE(Table_Query_from_MS_Access_Database_1[RTE],Table_Query_from_MS_Access_Database_1[SEC],Table_Query_from_MS_Access_Database_1[SEQ])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URF EX" queryTableFieldId="13" dataDxfId="47"/>
    <tableColumn id="14" uniqueName="14" name="HSIP" queryTableFieldId="14" dataDxfId="46"/>
    <tableColumn id="15" uniqueName="15" name="SPR" queryTableFieldId="15" dataDxfId="45"/>
    <tableColumn id="16" uniqueName="16" name="STP &lt;5" queryTableFieldId="16" dataDxfId="44"/>
    <tableColumn id="17" uniqueName="17" name="STP 5-200" queryTableFieldId="17" dataDxfId="43"/>
    <tableColumn id="18" uniqueName="18" name="STP OTHER" queryTableFieldId="18" dataDxfId="42"/>
    <tableColumn id="19" uniqueName="19" name="TOTAL OF AMOUNT" queryTableFieldId="20" dataDxfId="41">
      <calculatedColumnFormula>SUM(Table_Query_from_MS_Access_Database_1[[#This Row],[HURF EX]:[STP OTHER]])</calculatedColumnFormula>
    </tableColumn>
    <tableColumn id="20" uniqueName="20" name="EXPECTED DECLINING BALANCE OA" queryTableFieldId="19" dataDxfId="0">
      <calculatedColumnFormula>U18-Table_Query_from_MS_Access_Database_1[TOTAL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62" tableType="queryTable" totalsRowShown="0" headerRowDxfId="67" headerRowBorderDxfId="66" tableBorderDxfId="65" totalsRowBorderDxfId="64" headerRowCellStyle="Comma" dataCellStyle="Comma">
  <autoFilter ref="A11:T62"/>
  <tableColumns count="20">
    <tableColumn id="7" uniqueName="7" name="Transaction Year" queryTableFieldId="1" dataDxfId="21" dataCellStyle="Comma"/>
    <tableColumn id="8" uniqueName="8" name="Transaction Type" queryTableFieldId="2" dataDxfId="20" dataCellStyle="Comma"/>
    <tableColumn id="9" uniqueName="9" name="Number" queryTableFieldId="3" dataDxfId="19" dataCellStyle="Comma"/>
    <tableColumn id="10" uniqueName="10" name="From" queryTableFieldId="4" dataDxfId="18" dataCellStyle="Comma"/>
    <tableColumn id="11" uniqueName="11" name="To" queryTableFieldId="5" dataDxfId="17" dataCellStyle="Comma"/>
    <tableColumn id="12" uniqueName="12" name="Repayment Year" queryTableFieldId="6" dataDxfId="16" dataCellStyle="Comma"/>
    <tableColumn id="13" uniqueName="13" name="Project8" queryTableFieldId="7" dataDxfId="15" dataCellStyle="Comma"/>
    <tableColumn id="14" uniqueName="14" name="Notes" queryTableFieldId="8" dataDxfId="14" dataCellStyle="Comma"/>
    <tableColumn id="15" uniqueName="15" name="Total" queryTableFieldId="9" dataDxfId="13" dataCellStyle="Comma"/>
    <tableColumn id="16" uniqueName="16" name="HURF Exchange" queryTableFieldId="10" dataDxfId="12" dataCellStyle="Comma"/>
    <tableColumn id="17" uniqueName="17" name="HSIP" queryTableFieldId="11" dataDxfId="11" dataCellStyle="Comma"/>
    <tableColumn id="18" uniqueName="18" name="PLAN" queryTableFieldId="12" dataDxfId="10" dataCellStyle="Comma"/>
    <tableColumn id="19" uniqueName="19" name="SPR" queryTableFieldId="13" dataDxfId="9" dataCellStyle="Comma"/>
    <tableColumn id="20" uniqueName="20" name="STP &lt;5" queryTableFieldId="14" dataDxfId="8" dataCellStyle="Comma"/>
    <tableColumn id="21" uniqueName="21" name="STP 5-2" queryTableFieldId="15" dataDxfId="7" dataCellStyle="Comma"/>
    <tableColumn id="22" uniqueName="22" name="STP Flex" queryTableFieldId="16" dataDxfId="6" dataCellStyle="Comma"/>
    <tableColumn id="23" uniqueName="23" name="TAP &lt;5" queryTableFieldId="17" dataDxfId="5" dataCellStyle="Comma"/>
    <tableColumn id="24" uniqueName="24" name="TAP 5-2" queryTableFieldId="18" dataDxfId="4" dataCellStyle="Comma"/>
    <tableColumn id="26" uniqueName="26" name="TAP 5-3" queryTableFieldId="20" dataDxfId="3" dataCellStyle="Comma"/>
    <tableColumn id="25" uniqueName="25" name="TAP Flex" queryTableFieldId="19" dataDxfId="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65:S116" tableType="queryTable" totalsRowShown="0" headerRowDxfId="63" dataDxfId="62" tableBorderDxfId="61" headerRowCellStyle="Comma" dataCellStyle="Comma">
  <autoFilter ref="A65:S116"/>
  <tableColumns count="19">
    <tableColumn id="2" uniqueName="2" name="Transaction Year" queryTableFieldId="1" dataDxfId="40" dataCellStyle="Comma"/>
    <tableColumn id="3" uniqueName="3" name="Transaction Type" queryTableFieldId="2" dataDxfId="39" dataCellStyle="Comma"/>
    <tableColumn id="4" uniqueName="4" name="Number" queryTableFieldId="3" dataDxfId="38" dataCellStyle="Comma"/>
    <tableColumn id="5" uniqueName="5" name="From" queryTableFieldId="4" dataDxfId="37" dataCellStyle="Comma"/>
    <tableColumn id="6" uniqueName="6" name="To" queryTableFieldId="5" dataDxfId="36" dataCellStyle="Comma"/>
    <tableColumn id="7" uniqueName="7" name="Repayment Year" queryTableFieldId="6" dataDxfId="35" dataCellStyle="Comma"/>
    <tableColumn id="8" uniqueName="8" name="Project8" queryTableFieldId="7" dataDxfId="34" dataCellStyle="Comma"/>
    <tableColumn id="9" uniqueName="9" name="Notes" queryTableFieldId="8" dataDxfId="33" dataCellStyle="Comma"/>
    <tableColumn id="10" uniqueName="10" name="Total" queryTableFieldId="9" dataDxfId="32" dataCellStyle="Comma"/>
    <tableColumn id="11" uniqueName="11" name="HURF Exchange" queryTableFieldId="10" dataDxfId="31" dataCellStyle="Comma"/>
    <tableColumn id="12" uniqueName="12" name="HSIP" queryTableFieldId="11" dataDxfId="30" dataCellStyle="Comma"/>
    <tableColumn id="13" uniqueName="13" name="PLAN" queryTableFieldId="12" dataDxfId="29" dataCellStyle="Comma"/>
    <tableColumn id="14" uniqueName="14" name="SPR" queryTableFieldId="13" dataDxfId="28" dataCellStyle="Comma"/>
    <tableColumn id="15" uniqueName="15" name="STP &lt;5" queryTableFieldId="14" dataDxfId="27" dataCellStyle="Comma"/>
    <tableColumn id="16" uniqueName="16" name="STP 5-2" queryTableFieldId="15" dataDxfId="26" dataCellStyle="Comma"/>
    <tableColumn id="17" uniqueName="17" name="STP Flex" queryTableFieldId="16" dataDxfId="25" dataCellStyle="Comma"/>
    <tableColumn id="18" uniqueName="18" name="TAP &lt;5" queryTableFieldId="17" dataDxfId="24" dataCellStyle="Comma"/>
    <tableColumn id="19" uniqueName="19" name="TAP 5-2" queryTableFieldId="18" dataDxfId="23" dataCellStyle="Comma"/>
    <tableColumn id="20" uniqueName="20" name="TAP Flex" queryTableFieldId="19" dataDxfId="22"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6"/>
  <sheetViews>
    <sheetView tabSelected="1" topLeftCell="B1" zoomScale="90" zoomScaleNormal="90" zoomScaleSheetLayoutView="115" workbookViewId="0">
      <selection activeCell="U32" sqref="U32"/>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18" width="14.7109375" style="36" customWidth="1"/>
    <col min="19" max="19" width="16.7109375" style="36" customWidth="1"/>
    <col min="20" max="20" width="18.7109375" style="36" customWidth="1"/>
    <col min="21" max="21" width="18.7109375" style="33" customWidth="1"/>
    <col min="22" max="16384" width="32" style="33"/>
  </cols>
  <sheetData>
    <row r="1" spans="1:21" ht="23.25" customHeight="1" thickBot="1" x14ac:dyDescent="0.3">
      <c r="A1" s="156" t="s">
        <v>129</v>
      </c>
      <c r="B1" s="156"/>
      <c r="C1" s="156"/>
      <c r="D1" s="156"/>
      <c r="E1" s="156"/>
      <c r="F1" s="156"/>
      <c r="J1" s="34"/>
      <c r="K1" s="35"/>
      <c r="L1" s="34"/>
      <c r="M1" s="53"/>
      <c r="N1" s="166" t="s">
        <v>77</v>
      </c>
      <c r="O1" s="166"/>
      <c r="P1" s="166"/>
      <c r="Q1" s="166"/>
      <c r="R1" s="166"/>
      <c r="S1" s="166"/>
      <c r="T1" s="166"/>
    </row>
    <row r="2" spans="1:21" ht="17.25" customHeight="1" thickBot="1" x14ac:dyDescent="0.3">
      <c r="J2" s="34"/>
      <c r="K2" s="34"/>
      <c r="L2" s="34"/>
      <c r="M2" s="53"/>
      <c r="N2" s="163" t="s">
        <v>12</v>
      </c>
      <c r="O2" s="164"/>
      <c r="P2" s="164"/>
      <c r="Q2" s="164"/>
      <c r="R2" s="164"/>
      <c r="S2" s="164"/>
      <c r="T2" s="165"/>
    </row>
    <row r="3" spans="1:21" ht="27.6" customHeight="1" x14ac:dyDescent="0.25">
      <c r="A3" s="159" t="s">
        <v>80</v>
      </c>
      <c r="B3" s="159"/>
      <c r="C3" s="159"/>
      <c r="D3" s="159"/>
      <c r="E3" s="37"/>
      <c r="F3" s="37"/>
      <c r="G3" s="37"/>
      <c r="J3" s="34"/>
      <c r="K3" s="90"/>
      <c r="L3" s="34"/>
      <c r="M3" s="70" t="s">
        <v>11</v>
      </c>
      <c r="N3" s="142" t="s">
        <v>199</v>
      </c>
      <c r="O3" s="140" t="s">
        <v>60</v>
      </c>
      <c r="P3" s="71" t="s">
        <v>55</v>
      </c>
      <c r="Q3" s="71" t="s">
        <v>106</v>
      </c>
      <c r="R3" s="71" t="s">
        <v>196</v>
      </c>
      <c r="S3" s="71" t="s">
        <v>6</v>
      </c>
      <c r="T3" s="72" t="s">
        <v>10</v>
      </c>
      <c r="U3" s="125" t="s">
        <v>15</v>
      </c>
    </row>
    <row r="4" spans="1:21" ht="27" x14ac:dyDescent="0.25">
      <c r="A4" s="158" t="s">
        <v>226</v>
      </c>
      <c r="B4" s="158"/>
      <c r="C4" s="158"/>
      <c r="D4" s="158"/>
      <c r="E4" s="38"/>
      <c r="F4" s="38"/>
      <c r="G4" s="38"/>
      <c r="J4" s="34"/>
      <c r="K4" s="34"/>
      <c r="L4" s="34"/>
      <c r="M4" s="86" t="s">
        <v>113</v>
      </c>
      <c r="N4" s="85">
        <v>0</v>
      </c>
      <c r="O4" s="89">
        <v>0</v>
      </c>
      <c r="P4" s="78">
        <v>0</v>
      </c>
      <c r="Q4" s="78">
        <v>0</v>
      </c>
      <c r="R4" s="78">
        <v>0</v>
      </c>
      <c r="S4" s="40">
        <v>330313.68</v>
      </c>
      <c r="T4" s="41">
        <f t="shared" ref="T4:T12" si="0">SUM(N4:S4)</f>
        <v>330313.68</v>
      </c>
      <c r="U4" s="89">
        <v>330313.68</v>
      </c>
    </row>
    <row r="5" spans="1:21" ht="27" x14ac:dyDescent="0.25">
      <c r="A5" s="96" t="s">
        <v>92</v>
      </c>
      <c r="C5" s="69">
        <v>43434</v>
      </c>
      <c r="J5" s="34"/>
      <c r="K5" s="34"/>
      <c r="L5" s="34"/>
      <c r="M5" s="87" t="s">
        <v>101</v>
      </c>
      <c r="N5" s="39">
        <v>0</v>
      </c>
      <c r="O5" s="79">
        <v>0</v>
      </c>
      <c r="P5" s="40">
        <v>200000</v>
      </c>
      <c r="Q5" s="40">
        <v>1351671</v>
      </c>
      <c r="R5" s="40">
        <v>576824</v>
      </c>
      <c r="S5" s="40">
        <v>0</v>
      </c>
      <c r="T5" s="41">
        <f t="shared" si="0"/>
        <v>2128495</v>
      </c>
      <c r="U5" s="79">
        <f>ROUND(+Table1[[#This Row],[Total]]*0.949,0)</f>
        <v>2019942</v>
      </c>
    </row>
    <row r="6" spans="1:21" x14ac:dyDescent="0.25">
      <c r="J6" s="34"/>
      <c r="K6" s="34"/>
      <c r="L6" s="34"/>
      <c r="M6" s="87" t="s">
        <v>68</v>
      </c>
      <c r="N6" s="143">
        <f>SUMIFS(Table_Query_from_MS_Access_Database[[#All],[HURF Exchange]],Table_Query_from_MS_Access_Database[[#All],[Transaction Year]],"2019",Table_Query_from_MS_Access_Database[[#All],[Transaction Type]],"loan in")</f>
        <v>0</v>
      </c>
      <c r="O6" s="126">
        <f>SUMIFS(Table_Query_from_MS_Access_Database[[#All],[HSIP]],Table_Query_from_MS_Access_Database[[#All],[Transaction Year]],"2019",Table_Query_from_MS_Access_Database[[#All],[Transaction Type]],"loan in")</f>
        <v>0</v>
      </c>
      <c r="P6" s="95">
        <f>SUMIFS(Table_Query_from_MS_Access_Database[[#All],[SPR]],Table_Query_from_MS_Access_Database[[#All],[Transaction Year]],"2019",Table_Query_from_MS_Access_Database[[#All],[Transaction Type]],"loan in")</f>
        <v>0</v>
      </c>
      <c r="Q6" s="95">
        <f>SUMIFS(Table_Query_from_MS_Access_Database[[#All],[STP &lt;5]],Table_Query_from_MS_Access_Database[[#All],[Transaction Year]],"2019",Table_Query_from_MS_Access_Database[[#All],[Transaction Type]],"loan in")</f>
        <v>0</v>
      </c>
      <c r="R6" s="95">
        <f>SUMIFS(Table_Query_from_MS_Access_Database[[#All],[STP 5-2]],Table_Query_from_MS_Access_Database[[#All],[Transaction Year]],"2019",Table_Query_from_MS_Access_Database[[#All],[Transaction Type]],"loan in")</f>
        <v>0</v>
      </c>
      <c r="S6" s="95">
        <f>SUMIFS(Table_Query_from_MS_Access_Database[[#All],[STP Flex]],Table_Query_from_MS_Access_Database[[#All],[Transaction Year]],"2019",Table_Query_from_MS_Access_Database[[#All],[Transaction Type]],"loan in")</f>
        <v>0</v>
      </c>
      <c r="T6" s="41">
        <f t="shared" si="0"/>
        <v>0</v>
      </c>
      <c r="U6" s="126">
        <f>SUMIFS(Table_Query_from_MS_Access_Database_16[[#All],[Total]],Table_Query_from_MS_Access_Database_16[[#All],[Transaction Year]],"2019",Table_Query_from_MS_Access_Database_16[[#All],[Transaction Type]],"Loan In")</f>
        <v>0</v>
      </c>
    </row>
    <row r="7" spans="1:21" x14ac:dyDescent="0.25">
      <c r="A7" s="43"/>
      <c r="J7" s="34"/>
      <c r="K7" s="34"/>
      <c r="L7" s="34"/>
      <c r="M7" s="87" t="s">
        <v>69</v>
      </c>
      <c r="N7" s="143">
        <f>SUMIFS(Table_Query_from_MS_Access_Database[[#All],[HURF Exchange]],Table_Query_from_MS_Access_Database[[#All],[Transaction Year]],"2019",Table_Query_from_MS_Access_Database[[#All],[Transaction Type]],"loan Out")</f>
        <v>0</v>
      </c>
      <c r="O7" s="126">
        <f>SUMIFS(Table_Query_from_MS_Access_Database[[#All],[HSIP]],Table_Query_from_MS_Access_Database[[#All],[Transaction Year]],"2019",Table_Query_from_MS_Access_Database[[#All],[Transaction Type]],"loan Out")</f>
        <v>0</v>
      </c>
      <c r="P7" s="95">
        <f>SUMIFS(Table_Query_from_MS_Access_Database[[#All],[SPR]],Table_Query_from_MS_Access_Database[[#All],[Transaction Year]],"2019",Table_Query_from_MS_Access_Database[[#All],[Transaction Type]],"loan Out")</f>
        <v>0</v>
      </c>
      <c r="Q7" s="95">
        <f>SUMIFS(Table_Query_from_MS_Access_Database[[#All],[STP &lt;5]],Table_Query_from_MS_Access_Database[[#All],[Transaction Year]],"2019",Table_Query_from_MS_Access_Database[[#All],[Transaction Type]],"loan Out")</f>
        <v>-690000</v>
      </c>
      <c r="R7" s="95">
        <f>SUMIFS(Table_Query_from_MS_Access_Database[[#All],[STP 5-2]],Table_Query_from_MS_Access_Database[[#All],[Transaction Year]],"2019",Table_Query_from_MS_Access_Database[[#All],[Transaction Type]],"loan Out")</f>
        <v>0</v>
      </c>
      <c r="S7" s="95">
        <f>SUMIFS(Table_Query_from_MS_Access_Database[[#All],[STP Flex]],Table_Query_from_MS_Access_Database[[#All],[Transaction Year]],"2019",Table_Query_from_MS_Access_Database[[#All],[Transaction Type]],"loan Out")</f>
        <v>0</v>
      </c>
      <c r="T7" s="41">
        <f t="shared" si="0"/>
        <v>-690000</v>
      </c>
      <c r="U7" s="126">
        <f>SUMIFS(Table_Query_from_MS_Access_Database_16[[#All],[Total]],Table_Query_from_MS_Access_Database_16[[#All],[Transaction Year]],"2019",Table_Query_from_MS_Access_Database_16[[#All],[Transaction Type]],"Loan Out")</f>
        <v>-690000</v>
      </c>
    </row>
    <row r="8" spans="1:21" x14ac:dyDescent="0.25">
      <c r="J8" s="34"/>
      <c r="K8" s="34"/>
      <c r="L8" s="34"/>
      <c r="M8" s="86" t="s">
        <v>70</v>
      </c>
      <c r="N8" s="143">
        <f>SUMIFS(Table_Query_from_MS_Access_Database[[#All],[HURF Exchange]],Table_Query_from_MS_Access_Database[[#All],[Transaction Year]],"2019",Table_Query_from_MS_Access_Database[[#All],[Transaction Type]],"repayment in")</f>
        <v>0</v>
      </c>
      <c r="O8" s="126">
        <f>SUMIFS(Table_Query_from_MS_Access_Database[[#All],[HSIP]],Table_Query_from_MS_Access_Database[[#All],[Transaction Year]],"2019",Table_Query_from_MS_Access_Database[[#All],[Transaction Type]],"repayment in")</f>
        <v>0</v>
      </c>
      <c r="P8" s="95">
        <f>SUMIFS(Table_Query_from_MS_Access_Database[[#All],[SPR]],Table_Query_from_MS_Access_Database[[#All],[Transaction Year]],"2019",Table_Query_from_MS_Access_Database[[#All],[Transaction Type]],"repayment in")</f>
        <v>0</v>
      </c>
      <c r="Q8" s="95">
        <f>SUMIFS(Table_Query_from_MS_Access_Database[[#All],[STP &lt;5]],Table_Query_from_MS_Access_Database[[#All],[Transaction Year]],"2019",Table_Query_from_MS_Access_Database[[#All],[Transaction Type]],"repayment in")</f>
        <v>2005304.57</v>
      </c>
      <c r="R8" s="95">
        <f>SUMIFS(Table_Query_from_MS_Access_Database[[#All],[STP 5-2]],Table_Query_from_MS_Access_Database[[#All],[Transaction Year]],"2019",Table_Query_from_MS_Access_Database[[#All],[Transaction Type]],"repayment in")</f>
        <v>756500</v>
      </c>
      <c r="S8" s="95">
        <f>SUMIFS(Table_Query_from_MS_Access_Database[[#All],[STP Flex]],Table_Query_from_MS_Access_Database[[#All],[Transaction Year]],"2019",Table_Query_from_MS_Access_Database[[#All],[Transaction Type]],"repayment in")</f>
        <v>0</v>
      </c>
      <c r="T8" s="41">
        <f t="shared" si="0"/>
        <v>2761804.5700000003</v>
      </c>
      <c r="U8" s="126">
        <f>SUMIFS(Table_Query_from_MS_Access_Database_16[[#All],[Total]],Table_Query_from_MS_Access_Database_16[[#All],[Transaction Year]],"2019",Table_Query_from_MS_Access_Database_16[[#All],[Transaction Type]],"repayment In")</f>
        <v>2630568.5700000003</v>
      </c>
    </row>
    <row r="9" spans="1:21" x14ac:dyDescent="0.25">
      <c r="A9" s="158" t="s">
        <v>86</v>
      </c>
      <c r="B9" s="158"/>
      <c r="C9" s="158"/>
      <c r="D9" s="158"/>
      <c r="E9" s="158"/>
      <c r="F9" s="158"/>
      <c r="G9" s="158"/>
      <c r="H9" s="158"/>
      <c r="I9" s="158"/>
      <c r="J9" s="158"/>
      <c r="K9" s="158"/>
      <c r="L9" s="158"/>
      <c r="M9" s="87" t="s">
        <v>71</v>
      </c>
      <c r="N9" s="143">
        <f>SUMIFS(Table_Query_from_MS_Access_Database[[#All],[HURF Exchange]],Table_Query_from_MS_Access_Database[[#All],[Transaction Year]],"2019",Table_Query_from_MS_Access_Database[[#All],[Transaction Type]],"repayment Out")</f>
        <v>0</v>
      </c>
      <c r="O9" s="126">
        <f>SUMIFS(Table_Query_from_MS_Access_Database[[#All],[HSIP]],Table_Query_from_MS_Access_Database[[#All],[Transaction Year]],"2019",Table_Query_from_MS_Access_Database[[#All],[Transaction Type]],"repayment Out")</f>
        <v>0</v>
      </c>
      <c r="P9" s="95">
        <f>SUMIFS(Table_Query_from_MS_Access_Database[[#All],[SPR]],Table_Query_from_MS_Access_Database[[#All],[Transaction Year]],"2019",Table_Query_from_MS_Access_Database[[#All],[Transaction Type]],"repayment Out")</f>
        <v>0</v>
      </c>
      <c r="Q9" s="95">
        <f>SUMIFS(Table_Query_from_MS_Access_Database[[#All],[STP &lt;5]],Table_Query_from_MS_Access_Database[[#All],[Transaction Year]],"2019",Table_Query_from_MS_Access_Database[[#All],[Transaction Type]],"repayment Out")</f>
        <v>0</v>
      </c>
      <c r="R9" s="95">
        <f>SUMIFS(Table_Query_from_MS_Access_Database[[#All],[STP 5-2]],Table_Query_from_MS_Access_Database[[#All],[Transaction Year]],"2019",Table_Query_from_MS_Access_Database[[#All],[Transaction Type]],"repayment Out")</f>
        <v>0</v>
      </c>
      <c r="S9" s="95">
        <f>SUMIFS(Table_Query_from_MS_Access_Database[[#All],[STP Flex]],Table_Query_from_MS_Access_Database[[#All],[Transaction Year]],"2019",Table_Query_from_MS_Access_Database[[#All],[Transaction Type]],"repayment Out")</f>
        <v>0</v>
      </c>
      <c r="T9" s="41">
        <f t="shared" si="0"/>
        <v>0</v>
      </c>
      <c r="U9" s="126">
        <f>SUMIFS(Table_Query_from_MS_Access_Database_16[[#All],[Total]],Table_Query_from_MS_Access_Database_16[[#All],[Transaction Year]],"2019",Table_Query_from_MS_Access_Database_16[[#All],[Transaction Type]],"Repayment Out")</f>
        <v>0</v>
      </c>
    </row>
    <row r="10" spans="1:21" x14ac:dyDescent="0.25">
      <c r="J10" s="34"/>
      <c r="K10" s="34"/>
      <c r="L10" s="34"/>
      <c r="M10" s="87" t="s">
        <v>72</v>
      </c>
      <c r="N10" s="143">
        <f>SUMIFS(Table_Query_from_MS_Access_Database[[#All],[HURF Exchange]],Table_Query_from_MS_Access_Database[[#All],[Transaction Year]],"2019",Table_Query_from_MS_Access_Database[[#All],[Transaction Type]],"Transfer in")</f>
        <v>0</v>
      </c>
      <c r="O10" s="126">
        <f>SUMIFS(Table_Query_from_MS_Access_Database[[#All],[HSIP]],Table_Query_from_MS_Access_Database[[#All],[Transaction Year]],"2019",Table_Query_from_MS_Access_Database[[#All],[Transaction Type]],"Transfer in")</f>
        <v>0</v>
      </c>
      <c r="P10" s="95">
        <f>SUMIFS(Table_Query_from_MS_Access_Database[[#All],[SPR]],Table_Query_from_MS_Access_Database[[#All],[Transaction Year]],"2019",Table_Query_from_MS_Access_Database[[#All],[Transaction Type]],"Transfer in")</f>
        <v>0</v>
      </c>
      <c r="Q10" s="95">
        <f>SUMIFS(Table_Query_from_MS_Access_Database[[#All],[STP &lt;5]],Table_Query_from_MS_Access_Database[[#All],[Transaction Year]],"2019",Table_Query_from_MS_Access_Database[[#All],[Transaction Type]],"Transfer in")</f>
        <v>0</v>
      </c>
      <c r="R10" s="95">
        <f>SUMIFS(Table_Query_from_MS_Access_Database[[#All],[STP 5-2]],Table_Query_from_MS_Access_Database[[#All],[Transaction Year]],"2019",Table_Query_from_MS_Access_Database[[#All],[Transaction Type]],"Transfer in")</f>
        <v>0</v>
      </c>
      <c r="S10" s="95">
        <f>SUMIFS(Table_Query_from_MS_Access_Database[[#All],[STP Flex]],Table_Query_from_MS_Access_Database[[#All],[Transaction Year]],"2019",Table_Query_from_MS_Access_Database[[#All],[Transaction Type]],"Transfer in")</f>
        <v>0</v>
      </c>
      <c r="T10" s="41">
        <f t="shared" si="0"/>
        <v>0</v>
      </c>
      <c r="U10" s="126">
        <f>SUMIFS(Table_Query_from_MS_Access_Database_16[[#All],[Total]],Table_Query_from_MS_Access_Database_16[[#All],[Transaction Year]],"2019",Table_Query_from_MS_Access_Database_16[[#All],[Transaction Type]],"Transfer In")</f>
        <v>0</v>
      </c>
    </row>
    <row r="11" spans="1:21" x14ac:dyDescent="0.25">
      <c r="F11" s="44"/>
      <c r="G11" s="44"/>
      <c r="J11" s="34"/>
      <c r="K11" s="34"/>
      <c r="L11" s="34"/>
      <c r="M11" s="87" t="s">
        <v>73</v>
      </c>
      <c r="N11" s="143">
        <f>SUMIFS(Table_Query_from_MS_Access_Database[[#All],[HURF Exchange]],Table_Query_from_MS_Access_Database[[#All],[Transaction Year]],"2019",Table_Query_from_MS_Access_Database[[#All],[Transaction Type]],"Transfer Out")</f>
        <v>0</v>
      </c>
      <c r="O11" s="126">
        <f>SUMIFS(Table_Query_from_MS_Access_Database[[#All],[HSIP]],Table_Query_from_MS_Access_Database[[#All],[Transaction Year]],"2019",Table_Query_from_MS_Access_Database[[#All],[Transaction Type]],"Transfer Out")</f>
        <v>0</v>
      </c>
      <c r="P11" s="95">
        <f>SUMIFS(Table_Query_from_MS_Access_Database[[#All],[SPR]],Table_Query_from_MS_Access_Database[[#All],[Transaction Year]],"2019",Table_Query_from_MS_Access_Database[[#All],[Transaction Type]],"Transfer Out")</f>
        <v>0</v>
      </c>
      <c r="Q11" s="95">
        <f>SUMIFS(Table_Query_from_MS_Access_Database[[#All],[STP &lt;5]],Table_Query_from_MS_Access_Database[[#All],[Transaction Year]],"2019",Table_Query_from_MS_Access_Database[[#All],[Transaction Type]],"Transfer Out")</f>
        <v>0</v>
      </c>
      <c r="R11" s="95">
        <f>SUMIFS(Table_Query_from_MS_Access_Database[[#All],[STP 5-2]],Table_Query_from_MS_Access_Database[[#All],[Transaction Year]],"2019",Table_Query_from_MS_Access_Database[[#All],[Transaction Type]],"Transfer Out")</f>
        <v>0</v>
      </c>
      <c r="S11" s="95">
        <f>SUMIFS(Table_Query_from_MS_Access_Database[[#All],[STP Flex]],Table_Query_from_MS_Access_Database[[#All],[Transaction Year]],"2019",Table_Query_from_MS_Access_Database[[#All],[Transaction Type]],"Transfer Out")</f>
        <v>0</v>
      </c>
      <c r="T11" s="41">
        <f t="shared" si="0"/>
        <v>0</v>
      </c>
      <c r="U11" s="126">
        <f>SUMIFS(Table_Query_from_MS_Access_Database_16[[#All],[Total]],Table_Query_from_MS_Access_Database_16[[#All],[Transaction Year]],"2019",Table_Query_from_MS_Access_Database_16[[#All],[Transaction Type]],"Transfer Out")</f>
        <v>0</v>
      </c>
    </row>
    <row r="12" spans="1:21" ht="54" x14ac:dyDescent="0.25">
      <c r="J12" s="34"/>
      <c r="K12" s="34"/>
      <c r="L12" s="34"/>
      <c r="M12" s="88" t="s">
        <v>112</v>
      </c>
      <c r="N12" s="144">
        <f t="shared" ref="N12" si="1">SUM(N4:N11)</f>
        <v>0</v>
      </c>
      <c r="O12" s="141">
        <f t="shared" ref="O12:S12" si="2">SUM(O4:O11)</f>
        <v>0</v>
      </c>
      <c r="P12" s="45">
        <f t="shared" si="2"/>
        <v>200000</v>
      </c>
      <c r="Q12" s="45">
        <f t="shared" si="2"/>
        <v>2666975.5700000003</v>
      </c>
      <c r="R12" s="45">
        <f t="shared" si="2"/>
        <v>1333324</v>
      </c>
      <c r="S12" s="45">
        <f t="shared" si="2"/>
        <v>330313.68</v>
      </c>
      <c r="T12" s="77">
        <f t="shared" si="0"/>
        <v>4530613.25</v>
      </c>
      <c r="U12" s="127">
        <f>SUM(U4:U11)</f>
        <v>4290824.25</v>
      </c>
    </row>
    <row r="13" spans="1:21" x14ac:dyDescent="0.25">
      <c r="J13" s="34"/>
      <c r="K13" s="34"/>
      <c r="L13" s="34"/>
      <c r="M13" s="34"/>
      <c r="N13" s="46"/>
      <c r="O13" s="47"/>
      <c r="P13" s="47"/>
      <c r="Q13" s="47"/>
      <c r="R13" s="47"/>
      <c r="S13" s="47"/>
      <c r="T13" s="42"/>
    </row>
    <row r="14" spans="1:21" ht="15.75" customHeight="1" x14ac:dyDescent="0.25">
      <c r="A14" s="157" t="s">
        <v>61</v>
      </c>
      <c r="B14" s="157"/>
      <c r="C14" s="157"/>
      <c r="D14" s="157"/>
      <c r="J14" s="160" t="s">
        <v>62</v>
      </c>
      <c r="K14" s="161"/>
      <c r="L14" s="161"/>
      <c r="M14" s="162"/>
      <c r="N14" s="48"/>
      <c r="R14" s="49"/>
      <c r="S14" s="49"/>
      <c r="T14" s="49"/>
    </row>
    <row r="15" spans="1:21" s="52" customFormat="1" ht="27" x14ac:dyDescent="0.25">
      <c r="A15" s="122" t="s">
        <v>1</v>
      </c>
      <c r="B15" s="122" t="s">
        <v>0</v>
      </c>
      <c r="C15" s="122" t="s">
        <v>3</v>
      </c>
      <c r="D15" s="122" t="s">
        <v>83</v>
      </c>
      <c r="E15" s="122" t="s">
        <v>2</v>
      </c>
      <c r="F15" s="122" t="s">
        <v>45</v>
      </c>
      <c r="G15" s="122" t="s">
        <v>46</v>
      </c>
      <c r="H15" s="122" t="s">
        <v>47</v>
      </c>
      <c r="I15" s="122" t="s">
        <v>109</v>
      </c>
      <c r="J15" s="122" t="s">
        <v>48</v>
      </c>
      <c r="K15" s="82" t="s">
        <v>49</v>
      </c>
      <c r="L15" s="82" t="s">
        <v>50</v>
      </c>
      <c r="M15" s="122" t="s">
        <v>51</v>
      </c>
      <c r="N15" s="122" t="s">
        <v>199</v>
      </c>
      <c r="O15" s="122" t="s">
        <v>4</v>
      </c>
      <c r="P15" s="122" t="s">
        <v>5</v>
      </c>
      <c r="Q15" s="82" t="s">
        <v>106</v>
      </c>
      <c r="R15" s="82" t="s">
        <v>196</v>
      </c>
      <c r="S15" s="82" t="s">
        <v>52</v>
      </c>
      <c r="T15" s="82" t="s">
        <v>84</v>
      </c>
      <c r="U15" s="82" t="s">
        <v>91</v>
      </c>
    </row>
    <row r="16" spans="1:21" s="55" customFormat="1" ht="13.5" x14ac:dyDescent="0.25">
      <c r="A16" s="55" t="s">
        <v>186</v>
      </c>
      <c r="B16" s="55" t="s">
        <v>221</v>
      </c>
      <c r="C16" s="55" t="s">
        <v>123</v>
      </c>
      <c r="D16" s="55" t="s">
        <v>8</v>
      </c>
      <c r="E16" s="146" t="s">
        <v>187</v>
      </c>
      <c r="F16" s="80" t="s">
        <v>188</v>
      </c>
      <c r="G16" s="80" t="s">
        <v>107</v>
      </c>
      <c r="H16" s="80" t="s">
        <v>108</v>
      </c>
      <c r="I16" s="124" t="str">
        <f>CONCATENATE(Table_Query_from_MS_Access_Database8[RTE],Table_Query_from_MS_Access_Database8[SEC],Table_Query_from_MS_Access_Database8[SEQ])</f>
        <v>NACS019</v>
      </c>
      <c r="J16" s="134">
        <v>43374</v>
      </c>
      <c r="K16" s="134">
        <v>43374</v>
      </c>
      <c r="L16" s="134">
        <v>43374</v>
      </c>
      <c r="M16" s="134">
        <v>43374</v>
      </c>
      <c r="N16" s="136"/>
      <c r="O16" s="136"/>
      <c r="P16" s="136">
        <v>168750</v>
      </c>
      <c r="Q16" s="137"/>
      <c r="R16" s="101"/>
      <c r="S16" s="101"/>
      <c r="T16" s="101">
        <f>SUM(Table_Query_from_MS_Access_Database8[[#This Row],[HURF EX]:[STP OTHER]])</f>
        <v>168750</v>
      </c>
      <c r="U16" s="101">
        <f>U12-Table_Query_from_MS_Access_Database8[TOTAL OF AMOUNT]</f>
        <v>4122074.25</v>
      </c>
    </row>
    <row r="17" spans="1:21" s="55" customFormat="1" ht="13.5" x14ac:dyDescent="0.25">
      <c r="A17" s="190" t="s">
        <v>274</v>
      </c>
      <c r="B17" s="190" t="s">
        <v>275</v>
      </c>
      <c r="C17" s="190" t="s">
        <v>123</v>
      </c>
      <c r="D17" s="190" t="s">
        <v>9</v>
      </c>
      <c r="E17" s="191" t="s">
        <v>276</v>
      </c>
      <c r="F17" s="183" t="s">
        <v>188</v>
      </c>
      <c r="G17" s="183" t="s">
        <v>127</v>
      </c>
      <c r="H17" s="183" t="s">
        <v>277</v>
      </c>
      <c r="I17" s="185" t="str">
        <f>CONCATENATE(Table_Query_from_MS_Access_Database8[RTE],Table_Query_from_MS_Access_Database8[SEC],Table_Query_from_MS_Access_Database8[SEQ])</f>
        <v>NAC0201</v>
      </c>
      <c r="J17" s="187"/>
      <c r="K17" s="187">
        <v>43409</v>
      </c>
      <c r="L17" s="187">
        <v>43409</v>
      </c>
      <c r="M17" s="187">
        <v>43409</v>
      </c>
      <c r="N17" s="188"/>
      <c r="O17" s="188">
        <v>-0.03</v>
      </c>
      <c r="P17" s="188"/>
      <c r="Q17" s="188"/>
      <c r="R17" s="189"/>
      <c r="S17" s="189"/>
      <c r="T17" s="189">
        <f>SUM(Table_Query_from_MS_Access_Database8[[#This Row],[HURF EX]:[STP OTHER]])</f>
        <v>-0.03</v>
      </c>
      <c r="U17" s="189">
        <f>U16-Table_Query_from_MS_Access_Database8[TOTAL OF AMOUNT]</f>
        <v>4122074.28</v>
      </c>
    </row>
    <row r="18" spans="1:21" s="55" customFormat="1" ht="27" x14ac:dyDescent="0.25">
      <c r="A18" s="190" t="s">
        <v>255</v>
      </c>
      <c r="B18" s="190" t="s">
        <v>256</v>
      </c>
      <c r="C18" s="190" t="s">
        <v>219</v>
      </c>
      <c r="D18" s="190" t="s">
        <v>7</v>
      </c>
      <c r="E18" s="191" t="s">
        <v>257</v>
      </c>
      <c r="F18" s="183" t="s">
        <v>220</v>
      </c>
      <c r="G18" s="183" t="s">
        <v>127</v>
      </c>
      <c r="H18" s="183" t="s">
        <v>258</v>
      </c>
      <c r="I18" s="185" t="str">
        <f>CONCATENATE(Table_Query_from_MS_Access_Database8[RTE],Table_Query_from_MS_Access_Database8[SEC],Table_Query_from_MS_Access_Database8[SEQ])</f>
        <v>AAP0205</v>
      </c>
      <c r="J18" s="187">
        <v>43374</v>
      </c>
      <c r="K18" s="187">
        <v>43412</v>
      </c>
      <c r="L18" s="187">
        <v>43413</v>
      </c>
      <c r="M18" s="187">
        <v>43430</v>
      </c>
      <c r="N18" s="188"/>
      <c r="O18" s="188"/>
      <c r="P18" s="188"/>
      <c r="Q18" s="188">
        <v>728184</v>
      </c>
      <c r="R18" s="189"/>
      <c r="S18" s="189"/>
      <c r="T18" s="189">
        <f>SUM(Table_Query_from_MS_Access_Database8[[#This Row],[HURF EX]:[STP OTHER]])</f>
        <v>728184</v>
      </c>
      <c r="U18" s="189">
        <f>U17-Table_Query_from_MS_Access_Database8[TOTAL OF AMOUNT]</f>
        <v>3393890.28</v>
      </c>
    </row>
    <row r="19" spans="1:21" s="55" customFormat="1" ht="13.5" x14ac:dyDescent="0.25">
      <c r="E19" s="50"/>
      <c r="F19" s="50"/>
      <c r="G19" s="50"/>
      <c r="H19" s="50"/>
      <c r="I19" s="50"/>
      <c r="J19" s="50"/>
      <c r="K19" s="50"/>
      <c r="L19" s="50"/>
      <c r="M19" s="81" t="s">
        <v>75</v>
      </c>
      <c r="N19" s="103">
        <f>SUM(Table_Query_from_MS_Access_Database8[[#All],[HURF EX]])</f>
        <v>0</v>
      </c>
      <c r="O19" s="103">
        <f>SUM(Table_Query_from_MS_Access_Database8[[#All],[HSIP]])</f>
        <v>-0.03</v>
      </c>
      <c r="P19" s="103">
        <f>SUM(Table_Query_from_MS_Access_Database8[[#All],[SPR]])</f>
        <v>168750</v>
      </c>
      <c r="Q19" s="103">
        <f>SUM(Table_Query_from_MS_Access_Database8[[#All],[STP &lt;5]])</f>
        <v>728184</v>
      </c>
      <c r="R19" s="103">
        <f>SUM(Table_Query_from_MS_Access_Database8[[#All],[STP 5-200]])</f>
        <v>0</v>
      </c>
      <c r="S19" s="103">
        <f>SUM(Table_Query_from_MS_Access_Database8[[#All],[STP OTHER]])</f>
        <v>0</v>
      </c>
      <c r="T19" s="103">
        <f>SUM(N19:S19)</f>
        <v>896933.97</v>
      </c>
      <c r="U19" s="101"/>
    </row>
    <row r="20" spans="1:21" s="55" customFormat="1" ht="27" x14ac:dyDescent="0.25">
      <c r="A20" s="94"/>
      <c r="B20" s="94"/>
      <c r="C20" s="94"/>
      <c r="D20" s="94"/>
      <c r="E20" s="50"/>
      <c r="F20" s="50"/>
      <c r="G20" s="50"/>
      <c r="H20" s="50"/>
      <c r="I20" s="50"/>
      <c r="J20" s="50"/>
      <c r="K20" s="50"/>
      <c r="L20" s="50"/>
      <c r="M20" s="81" t="s">
        <v>74</v>
      </c>
      <c r="N20" s="103">
        <f>+N12-N19</f>
        <v>0</v>
      </c>
      <c r="O20" s="103">
        <f>+O12-O19</f>
        <v>0.03</v>
      </c>
      <c r="P20" s="103">
        <f>+P12-P19</f>
        <v>31250</v>
      </c>
      <c r="Q20" s="103">
        <f>+Q12-Q19</f>
        <v>1938791.5700000003</v>
      </c>
      <c r="R20" s="103">
        <f>+R12-R19</f>
        <v>1333324</v>
      </c>
      <c r="S20" s="103">
        <f>+S12-S19</f>
        <v>330313.68</v>
      </c>
      <c r="T20" s="103">
        <f>+T12-T19</f>
        <v>3633679.2800000003</v>
      </c>
      <c r="U20" s="101"/>
    </row>
    <row r="21" spans="1:21" s="94" customFormat="1" ht="15" x14ac:dyDescent="0.25">
      <c r="A21" s="57"/>
      <c r="B21" s="57"/>
      <c r="C21" s="57"/>
      <c r="D21" s="57"/>
      <c r="E21" s="51"/>
      <c r="F21" s="51"/>
      <c r="G21" s="51"/>
      <c r="H21" s="51"/>
      <c r="I21" s="51"/>
      <c r="J21" s="51"/>
      <c r="K21" s="51"/>
      <c r="L21" s="51"/>
      <c r="M21" s="57"/>
      <c r="N21" s="57"/>
      <c r="O21" s="57"/>
      <c r="P21" s="57"/>
      <c r="Q21" s="57"/>
      <c r="R21" s="57"/>
      <c r="S21" s="49"/>
      <c r="T21" s="55"/>
      <c r="U21" s="102"/>
    </row>
    <row r="22" spans="1:21" s="94" customFormat="1" ht="17.25" x14ac:dyDescent="0.3">
      <c r="A22" s="157" t="s">
        <v>35</v>
      </c>
      <c r="B22" s="157"/>
      <c r="C22" s="157"/>
      <c r="D22" s="157"/>
      <c r="E22" s="56"/>
      <c r="F22" s="56"/>
      <c r="G22" s="57"/>
      <c r="H22" s="57"/>
      <c r="I22" s="57"/>
      <c r="J22" s="59"/>
      <c r="K22" s="58"/>
      <c r="L22" s="58"/>
      <c r="M22" s="58"/>
      <c r="N22" s="58"/>
      <c r="O22" s="49"/>
      <c r="P22" s="49"/>
      <c r="Q22" s="51"/>
      <c r="R22" s="51"/>
      <c r="S22" s="49"/>
      <c r="T22" s="55"/>
    </row>
    <row r="23" spans="1:21" s="94" customFormat="1" ht="40.5" x14ac:dyDescent="0.25">
      <c r="A23" s="82" t="s">
        <v>1</v>
      </c>
      <c r="B23" s="82" t="s">
        <v>0</v>
      </c>
      <c r="C23" s="82" t="s">
        <v>3</v>
      </c>
      <c r="D23" s="82" t="s">
        <v>83</v>
      </c>
      <c r="E23" s="82" t="s">
        <v>2</v>
      </c>
      <c r="F23" s="82" t="s">
        <v>45</v>
      </c>
      <c r="G23" s="82" t="s">
        <v>46</v>
      </c>
      <c r="H23" s="82" t="s">
        <v>47</v>
      </c>
      <c r="I23" s="82" t="s">
        <v>109</v>
      </c>
      <c r="J23" s="82" t="s">
        <v>48</v>
      </c>
      <c r="K23" s="82" t="s">
        <v>49</v>
      </c>
      <c r="L23" s="82" t="s">
        <v>50</v>
      </c>
      <c r="M23" s="82" t="s">
        <v>51</v>
      </c>
      <c r="N23" s="82" t="s">
        <v>199</v>
      </c>
      <c r="O23" s="82" t="s">
        <v>4</v>
      </c>
      <c r="P23" s="82" t="s">
        <v>5</v>
      </c>
      <c r="Q23" s="82" t="s">
        <v>106</v>
      </c>
      <c r="R23" s="82" t="s">
        <v>196</v>
      </c>
      <c r="S23" s="82" t="s">
        <v>52</v>
      </c>
      <c r="T23" s="82" t="s">
        <v>84</v>
      </c>
      <c r="U23" s="82" t="s">
        <v>53</v>
      </c>
    </row>
    <row r="24" spans="1:21" s="94" customFormat="1" ht="27" x14ac:dyDescent="0.25">
      <c r="A24" s="55" t="s">
        <v>238</v>
      </c>
      <c r="B24" s="55" t="s">
        <v>238</v>
      </c>
      <c r="C24" s="55" t="s">
        <v>239</v>
      </c>
      <c r="D24" s="55" t="s">
        <v>7</v>
      </c>
      <c r="E24" s="80" t="s">
        <v>240</v>
      </c>
      <c r="F24" s="123" t="s">
        <v>241</v>
      </c>
      <c r="G24" s="124" t="s">
        <v>127</v>
      </c>
      <c r="H24" s="124" t="s">
        <v>242</v>
      </c>
      <c r="I24" s="124" t="str">
        <f>CONCATENATE(Table_Query_from_MS_Access_Database_1[RTE],Table_Query_from_MS_Access_Database_1[SEC],Table_Query_from_MS_Access_Database_1[SEQ])</f>
        <v>CCN0TBD</v>
      </c>
      <c r="J24" s="147">
        <v>43466</v>
      </c>
      <c r="K24" s="134"/>
      <c r="L24" s="134"/>
      <c r="M24" s="134"/>
      <c r="N24" s="136"/>
      <c r="O24" s="136"/>
      <c r="P24" s="136"/>
      <c r="Q24" s="137">
        <v>578826</v>
      </c>
      <c r="R24" s="101"/>
      <c r="S24" s="101"/>
      <c r="T24" s="101">
        <f>SUM(Table_Query_from_MS_Access_Database_1[[#This Row],[HURF EX]:[STP OTHER]])</f>
        <v>578826</v>
      </c>
      <c r="U24" s="138">
        <f>U18-Table_Query_from_MS_Access_Database_1[TOTAL OF AMOUNT]</f>
        <v>2815064.28</v>
      </c>
    </row>
    <row r="25" spans="1:21" s="55" customFormat="1" ht="13.5" x14ac:dyDescent="0.25">
      <c r="A25" s="152" t="s">
        <v>270</v>
      </c>
      <c r="B25" s="152" t="s">
        <v>128</v>
      </c>
      <c r="C25" s="152" t="s">
        <v>123</v>
      </c>
      <c r="D25" s="152" t="s">
        <v>23</v>
      </c>
      <c r="E25" s="131" t="s">
        <v>271</v>
      </c>
      <c r="F25" s="153" t="s">
        <v>188</v>
      </c>
      <c r="G25" s="145" t="s">
        <v>107</v>
      </c>
      <c r="H25" s="145" t="s">
        <v>272</v>
      </c>
      <c r="I25" s="145" t="str">
        <f>CONCATENATE(Table_Query_from_MS_Access_Database_1[RTE],Table_Query_from_MS_Access_Database_1[SEC],Table_Query_from_MS_Access_Database_1[SEQ])</f>
        <v>NACS017</v>
      </c>
      <c r="J25" s="154">
        <v>43405</v>
      </c>
      <c r="K25" s="135">
        <v>43437</v>
      </c>
      <c r="L25" s="135"/>
      <c r="M25" s="135"/>
      <c r="N25" s="136"/>
      <c r="O25" s="136"/>
      <c r="P25" s="136">
        <v>-3262.07</v>
      </c>
      <c r="Q25" s="136"/>
      <c r="R25" s="138"/>
      <c r="S25" s="138"/>
      <c r="T25" s="138">
        <f>SUM(Table_Query_from_MS_Access_Database_1[[#This Row],[HURF EX]:[STP OTHER]])</f>
        <v>-3262.07</v>
      </c>
      <c r="U25" s="138">
        <f>U24-Table_Query_from_MS_Access_Database_1[TOTAL OF AMOUNT]</f>
        <v>2818326.3499999996</v>
      </c>
    </row>
    <row r="26" spans="1:21" s="94" customFormat="1" ht="13.5" x14ac:dyDescent="0.25">
      <c r="A26" s="152" t="s">
        <v>186</v>
      </c>
      <c r="B26" s="152" t="s">
        <v>221</v>
      </c>
      <c r="C26" s="152" t="s">
        <v>123</v>
      </c>
      <c r="D26" s="152" t="s">
        <v>8</v>
      </c>
      <c r="E26" s="131" t="s">
        <v>187</v>
      </c>
      <c r="F26" s="153" t="s">
        <v>188</v>
      </c>
      <c r="G26" s="145" t="s">
        <v>107</v>
      </c>
      <c r="H26" s="145" t="s">
        <v>108</v>
      </c>
      <c r="I26" s="145" t="str">
        <f>CONCATENATE(Table_Query_from_MS_Access_Database_1[RTE],Table_Query_from_MS_Access_Database_1[SEC],Table_Query_from_MS_Access_Database_1[SEQ])</f>
        <v>NACS019</v>
      </c>
      <c r="J26" s="154">
        <v>43405</v>
      </c>
      <c r="K26" s="135">
        <v>43437</v>
      </c>
      <c r="L26" s="135"/>
      <c r="M26" s="135"/>
      <c r="N26" s="136"/>
      <c r="O26" s="136"/>
      <c r="P26" s="136">
        <v>3262.07</v>
      </c>
      <c r="Q26" s="136"/>
      <c r="R26" s="138"/>
      <c r="S26" s="138"/>
      <c r="T26" s="138">
        <f>SUM(Table_Query_from_MS_Access_Database_1[[#This Row],[HURF EX]:[STP OTHER]])</f>
        <v>3262.07</v>
      </c>
      <c r="U26" s="138">
        <f>U25-Table_Query_from_MS_Access_Database_1[TOTAL OF AMOUNT]</f>
        <v>2815064.28</v>
      </c>
    </row>
    <row r="27" spans="1:21" s="94" customFormat="1" ht="13.5" x14ac:dyDescent="0.25">
      <c r="A27" s="152" t="s">
        <v>244</v>
      </c>
      <c r="B27" s="152" t="s">
        <v>128</v>
      </c>
      <c r="C27" s="152" t="s">
        <v>123</v>
      </c>
      <c r="D27" s="152" t="s">
        <v>7</v>
      </c>
      <c r="E27" s="131" t="s">
        <v>245</v>
      </c>
      <c r="F27" s="153" t="s">
        <v>188</v>
      </c>
      <c r="G27" s="145" t="s">
        <v>107</v>
      </c>
      <c r="H27" s="145" t="s">
        <v>246</v>
      </c>
      <c r="I27" s="145" t="str">
        <f>CONCATENATE(Table_Query_from_MS_Access_Database_1[RTE],Table_Query_from_MS_Access_Database_1[SEC],Table_Query_from_MS_Access_Database_1[SEQ])</f>
        <v>NACS020</v>
      </c>
      <c r="J27" s="154">
        <v>43617</v>
      </c>
      <c r="K27" s="135"/>
      <c r="L27" s="135"/>
      <c r="M27" s="135"/>
      <c r="N27" s="136"/>
      <c r="O27" s="136"/>
      <c r="P27" s="136">
        <v>31250</v>
      </c>
      <c r="Q27" s="136"/>
      <c r="R27" s="138"/>
      <c r="S27" s="138"/>
      <c r="T27" s="138">
        <f>SUM(Table_Query_from_MS_Access_Database_1[[#This Row],[HURF EX]:[STP OTHER]])</f>
        <v>31250</v>
      </c>
      <c r="U27" s="138">
        <f>U26-Table_Query_from_MS_Access_Database_1[TOTAL OF AMOUNT]</f>
        <v>2783814.28</v>
      </c>
    </row>
    <row r="28" spans="1:21" s="94" customFormat="1" ht="13.5" x14ac:dyDescent="0.25">
      <c r="A28" s="152" t="s">
        <v>267</v>
      </c>
      <c r="B28" s="152" t="s">
        <v>200</v>
      </c>
      <c r="C28" s="152" t="s">
        <v>273</v>
      </c>
      <c r="D28" s="152" t="s">
        <v>7</v>
      </c>
      <c r="E28" s="131" t="s">
        <v>243</v>
      </c>
      <c r="F28" s="153" t="s">
        <v>268</v>
      </c>
      <c r="G28" s="145" t="s">
        <v>269</v>
      </c>
      <c r="H28" s="145" t="s">
        <v>242</v>
      </c>
      <c r="I28" s="145" t="str">
        <f>CONCATENATE(Table_Query_from_MS_Access_Database_1[RTE],Table_Query_from_MS_Access_Database_1[SEC],Table_Query_from_MS_Access_Database_1[SEQ])</f>
        <v>094ATBD</v>
      </c>
      <c r="J28" s="154">
        <v>43466</v>
      </c>
      <c r="K28" s="135"/>
      <c r="L28" s="135"/>
      <c r="M28" s="135"/>
      <c r="N28" s="136"/>
      <c r="O28" s="136"/>
      <c r="P28" s="136"/>
      <c r="Q28" s="136"/>
      <c r="R28" s="138">
        <v>15000</v>
      </c>
      <c r="S28" s="138"/>
      <c r="T28" s="138">
        <f>SUM(Table_Query_from_MS_Access_Database_1[[#This Row],[HURF EX]:[STP OTHER]])</f>
        <v>15000</v>
      </c>
      <c r="U28" s="138">
        <f>U27-Table_Query_from_MS_Access_Database_1[TOTAL OF AMOUNT]</f>
        <v>2768814.28</v>
      </c>
    </row>
    <row r="29" spans="1:21" s="94" customFormat="1" ht="27" x14ac:dyDescent="0.25">
      <c r="A29" s="152" t="s">
        <v>247</v>
      </c>
      <c r="B29" s="152" t="s">
        <v>248</v>
      </c>
      <c r="C29" s="152" t="s">
        <v>249</v>
      </c>
      <c r="D29" s="152" t="s">
        <v>7</v>
      </c>
      <c r="E29" s="131" t="s">
        <v>250</v>
      </c>
      <c r="F29" s="153" t="s">
        <v>251</v>
      </c>
      <c r="G29" s="145" t="s">
        <v>127</v>
      </c>
      <c r="H29" s="145" t="s">
        <v>203</v>
      </c>
      <c r="I29" s="145" t="str">
        <f>CONCATENATE(Table_Query_from_MS_Access_Database_1[RTE],Table_Query_from_MS_Access_Database_1[SEC],Table_Query_from_MS_Access_Database_1[SEQ])</f>
        <v>WIL0HFX</v>
      </c>
      <c r="J29" s="154">
        <v>43509</v>
      </c>
      <c r="K29" s="135"/>
      <c r="L29" s="135"/>
      <c r="M29" s="135"/>
      <c r="N29" s="136"/>
      <c r="O29" s="136"/>
      <c r="P29" s="136"/>
      <c r="Q29" s="136">
        <v>515556</v>
      </c>
      <c r="R29" s="138"/>
      <c r="S29" s="138"/>
      <c r="T29" s="138">
        <f>SUM(Table_Query_from_MS_Access_Database_1[[#This Row],[HURF EX]:[STP OTHER]])</f>
        <v>515556</v>
      </c>
      <c r="U29" s="138">
        <f>U28-Table_Query_from_MS_Access_Database_1[TOTAL OF AMOUNT]</f>
        <v>2253258.2799999998</v>
      </c>
    </row>
    <row r="30" spans="1:21" s="55" customFormat="1" ht="27" x14ac:dyDescent="0.25">
      <c r="A30" s="152" t="s">
        <v>252</v>
      </c>
      <c r="B30" s="152" t="s">
        <v>253</v>
      </c>
      <c r="C30" s="152" t="s">
        <v>201</v>
      </c>
      <c r="D30" s="152" t="s">
        <v>7</v>
      </c>
      <c r="E30" s="131" t="s">
        <v>254</v>
      </c>
      <c r="F30" s="153" t="s">
        <v>202</v>
      </c>
      <c r="G30" s="145" t="s">
        <v>127</v>
      </c>
      <c r="H30" s="145" t="s">
        <v>203</v>
      </c>
      <c r="I30" s="145" t="str">
        <f>CONCATENATE(Table_Query_from_MS_Access_Database_1[RTE],Table_Query_from_MS_Access_Database_1[SEC],Table_Query_from_MS_Access_Database_1[SEQ])</f>
        <v>PLS0HFX</v>
      </c>
      <c r="J30" s="154">
        <v>43465</v>
      </c>
      <c r="K30" s="135"/>
      <c r="L30" s="135"/>
      <c r="M30" s="135"/>
      <c r="N30" s="136"/>
      <c r="O30" s="136"/>
      <c r="P30" s="136"/>
      <c r="Q30" s="136">
        <v>951778</v>
      </c>
      <c r="R30" s="138"/>
      <c r="S30" s="138"/>
      <c r="T30" s="138">
        <f>SUM(Table_Query_from_MS_Access_Database_1[[#This Row],[HURF EX]:[STP OTHER]])</f>
        <v>951778</v>
      </c>
      <c r="U30" s="138">
        <f>U29-Table_Query_from_MS_Access_Database_1[TOTAL OF AMOUNT]</f>
        <v>1301480.2799999998</v>
      </c>
    </row>
    <row r="31" spans="1:21" s="55" customFormat="1" ht="27" x14ac:dyDescent="0.25">
      <c r="A31" s="152" t="s">
        <v>259</v>
      </c>
      <c r="B31" s="152" t="s">
        <v>260</v>
      </c>
      <c r="C31" s="152" t="s">
        <v>209</v>
      </c>
      <c r="D31" s="152" t="s">
        <v>7</v>
      </c>
      <c r="E31" s="131" t="s">
        <v>261</v>
      </c>
      <c r="F31" s="153" t="s">
        <v>210</v>
      </c>
      <c r="G31" s="145" t="s">
        <v>127</v>
      </c>
      <c r="H31" s="145" t="s">
        <v>203</v>
      </c>
      <c r="I31" s="145" t="str">
        <f>CONCATENATE(Table_Query_from_MS_Access_Database_1[RTE],Table_Query_from_MS_Access_Database_1[SEC],Table_Query_from_MS_Access_Database_1[SEQ])</f>
        <v>SNW0HFX</v>
      </c>
      <c r="J31" s="154">
        <v>43452</v>
      </c>
      <c r="K31" s="135"/>
      <c r="L31" s="135"/>
      <c r="M31" s="135"/>
      <c r="N31" s="136"/>
      <c r="O31" s="136"/>
      <c r="P31" s="136"/>
      <c r="Q31" s="136"/>
      <c r="R31" s="138">
        <v>536495</v>
      </c>
      <c r="S31" s="138"/>
      <c r="T31" s="138">
        <f>SUM(Table_Query_from_MS_Access_Database_1[[#This Row],[HURF EX]:[STP OTHER]])</f>
        <v>536495</v>
      </c>
      <c r="U31" s="138">
        <f>U30-Table_Query_from_MS_Access_Database_1[TOTAL OF AMOUNT]</f>
        <v>764985.2799999998</v>
      </c>
    </row>
    <row r="32" spans="1:21" s="55" customFormat="1" ht="27" x14ac:dyDescent="0.25">
      <c r="A32" s="182" t="s">
        <v>262</v>
      </c>
      <c r="B32" s="182" t="s">
        <v>263</v>
      </c>
      <c r="C32" s="182" t="s">
        <v>264</v>
      </c>
      <c r="D32" s="182" t="s">
        <v>7</v>
      </c>
      <c r="E32" s="183" t="s">
        <v>265</v>
      </c>
      <c r="F32" s="184" t="s">
        <v>266</v>
      </c>
      <c r="G32" s="185" t="s">
        <v>127</v>
      </c>
      <c r="H32" s="185" t="s">
        <v>203</v>
      </c>
      <c r="I32" s="185" t="str">
        <f>CONCATENATE(Table_Query_from_MS_Access_Database_1[RTE],Table_Query_from_MS_Access_Database_1[SEC],Table_Query_from_MS_Access_Database_1[SEQ])</f>
        <v>WIN0HFX</v>
      </c>
      <c r="J32" s="186">
        <v>43466</v>
      </c>
      <c r="K32" s="187"/>
      <c r="L32" s="187"/>
      <c r="M32" s="187"/>
      <c r="N32" s="188"/>
      <c r="O32" s="188"/>
      <c r="P32" s="188"/>
      <c r="Q32" s="188"/>
      <c r="R32" s="189">
        <v>779293</v>
      </c>
      <c r="S32" s="189"/>
      <c r="T32" s="189">
        <f>SUM(Table_Query_from_MS_Access_Database_1[[#This Row],[HURF EX]:[STP OTHER]])</f>
        <v>779293</v>
      </c>
      <c r="U32" s="138">
        <f>U31-Table_Query_from_MS_Access_Database_1[TOTAL OF AMOUNT]</f>
        <v>-14307.720000000205</v>
      </c>
    </row>
    <row r="33" spans="1:21" s="52" customFormat="1" ht="15" customHeight="1" x14ac:dyDescent="0.25">
      <c r="A33" s="55"/>
      <c r="B33" s="55"/>
      <c r="C33" s="55"/>
      <c r="D33" s="55"/>
      <c r="E33" s="55"/>
      <c r="F33" s="55"/>
      <c r="G33" s="55"/>
      <c r="H33" s="55"/>
      <c r="I33" s="55"/>
      <c r="J33" s="60"/>
      <c r="K33" s="60"/>
      <c r="L33" s="60"/>
      <c r="M33" s="83" t="s">
        <v>85</v>
      </c>
      <c r="N33" s="139">
        <f>SUM(Table_Query_from_MS_Access_Database_1[[#All],[HURF EX]])</f>
        <v>0</v>
      </c>
      <c r="O33" s="139">
        <f>SUM(Table_Query_from_MS_Access_Database_1[[#All],[HSIP]])</f>
        <v>0</v>
      </c>
      <c r="P33" s="139">
        <f>SUM(Table_Query_from_MS_Access_Database_1[[#All],[SPR]])</f>
        <v>31250</v>
      </c>
      <c r="Q33" s="139">
        <f>SUM(Table_Query_from_MS_Access_Database_1[[#All],[STP &lt;5]])</f>
        <v>2046160</v>
      </c>
      <c r="R33" s="139">
        <f>SUM(Table_Query_from_MS_Access_Database_1[[#All],[STP 5-200]])</f>
        <v>1330788</v>
      </c>
      <c r="S33" s="139">
        <f>SUM(Table_Query_from_MS_Access_Database_1[[#All],[STP OTHER]])</f>
        <v>0</v>
      </c>
      <c r="T33" s="139">
        <f>SUBTOTAL(109,Table_Query_from_MS_Access_Database_1[TOTAL OF AMOUNT])</f>
        <v>3408198</v>
      </c>
      <c r="U33" s="101"/>
    </row>
    <row r="34" spans="1:21" s="52" customFormat="1" ht="27" x14ac:dyDescent="0.25">
      <c r="A34" s="55"/>
      <c r="B34" s="55"/>
      <c r="C34" s="55"/>
      <c r="D34" s="55"/>
      <c r="E34" s="55"/>
      <c r="F34" s="55"/>
      <c r="G34" s="55"/>
      <c r="H34" s="55"/>
      <c r="I34" s="55"/>
      <c r="J34" s="60"/>
      <c r="K34" s="60"/>
      <c r="L34" s="60"/>
      <c r="M34" s="84" t="s">
        <v>74</v>
      </c>
      <c r="N34" s="103">
        <f>+N20-N33</f>
        <v>0</v>
      </c>
      <c r="O34" s="103">
        <f>+O20-O33</f>
        <v>0.03</v>
      </c>
      <c r="P34" s="103">
        <f>+P20-P33</f>
        <v>0</v>
      </c>
      <c r="Q34" s="103">
        <f>+Q20-Q33</f>
        <v>-107368.4299999997</v>
      </c>
      <c r="R34" s="103">
        <f>+R20-R33</f>
        <v>2536</v>
      </c>
      <c r="S34" s="103">
        <f>+S20-S33</f>
        <v>330313.68</v>
      </c>
      <c r="T34" s="103">
        <f>+T20-T33</f>
        <v>225481.28000000026</v>
      </c>
      <c r="U34" s="101"/>
    </row>
    <row r="35" spans="1:21" s="55" customFormat="1" x14ac:dyDescent="0.25">
      <c r="A35" s="52"/>
      <c r="B35" s="52"/>
      <c r="C35" s="52"/>
      <c r="D35" s="52"/>
      <c r="E35" s="52"/>
      <c r="F35" s="52"/>
      <c r="G35" s="52"/>
      <c r="H35" s="52"/>
      <c r="I35" s="52"/>
      <c r="J35" s="54"/>
      <c r="K35" s="54"/>
      <c r="L35" s="54"/>
      <c r="M35" s="54"/>
      <c r="N35" s="54">
        <f>N19+N33</f>
        <v>0</v>
      </c>
      <c r="O35" s="54">
        <f>O19+O33</f>
        <v>-0.03</v>
      </c>
      <c r="P35" s="54">
        <f>P19+P33</f>
        <v>200000</v>
      </c>
      <c r="Q35" s="54">
        <f>Q19+Q33</f>
        <v>2774344</v>
      </c>
      <c r="R35" s="54">
        <f>R19+R33</f>
        <v>1330788</v>
      </c>
      <c r="S35" s="54">
        <f>S19+S33</f>
        <v>0</v>
      </c>
      <c r="T35" s="60">
        <f>SUM(N35:S35)</f>
        <v>4305131.9700000007</v>
      </c>
    </row>
    <row r="36" spans="1:21" s="55" customFormat="1" ht="17.25" x14ac:dyDescent="0.25">
      <c r="A36" s="61" t="s">
        <v>76</v>
      </c>
      <c r="B36" s="52"/>
      <c r="C36" s="52"/>
      <c r="D36" s="52"/>
      <c r="E36" s="52"/>
      <c r="F36" s="52"/>
      <c r="G36" s="52"/>
      <c r="H36" s="52"/>
      <c r="I36" s="52"/>
      <c r="J36" s="54"/>
      <c r="K36" s="54"/>
      <c r="L36" s="54"/>
      <c r="M36" s="54"/>
      <c r="N36" s="155" t="s">
        <v>58</v>
      </c>
      <c r="O36" s="155"/>
      <c r="P36" s="155"/>
      <c r="Q36" s="155"/>
      <c r="R36" s="56"/>
      <c r="S36" s="52"/>
      <c r="T36" s="60"/>
      <c r="U36" s="52"/>
    </row>
    <row r="37" spans="1:21" s="55" customFormat="1" ht="13.5" x14ac:dyDescent="0.25">
      <c r="J37" s="60"/>
      <c r="K37" s="60"/>
      <c r="L37" s="60"/>
      <c r="M37" s="104"/>
      <c r="N37" s="129" t="s">
        <v>199</v>
      </c>
      <c r="O37" s="129" t="s">
        <v>4</v>
      </c>
      <c r="P37" s="129" t="s">
        <v>5</v>
      </c>
      <c r="Q37" s="129" t="s">
        <v>106</v>
      </c>
      <c r="R37" s="129" t="s">
        <v>196</v>
      </c>
      <c r="S37" s="129" t="s">
        <v>52</v>
      </c>
      <c r="T37" s="129" t="s">
        <v>54</v>
      </c>
      <c r="U37" s="105" t="s">
        <v>59</v>
      </c>
    </row>
    <row r="38" spans="1:21" s="55" customFormat="1" ht="13.5" x14ac:dyDescent="0.25">
      <c r="J38" s="60"/>
      <c r="K38" s="60"/>
      <c r="L38" s="60"/>
      <c r="M38" s="97" t="s">
        <v>227</v>
      </c>
      <c r="N38" s="99">
        <f>+N34</f>
        <v>0</v>
      </c>
      <c r="O38" s="99">
        <f t="shared" ref="O38:R38" si="3">+O34</f>
        <v>0.03</v>
      </c>
      <c r="P38" s="99">
        <f t="shared" si="3"/>
        <v>0</v>
      </c>
      <c r="Q38" s="99">
        <f t="shared" si="3"/>
        <v>-107368.4299999997</v>
      </c>
      <c r="R38" s="99">
        <f t="shared" si="3"/>
        <v>2536</v>
      </c>
      <c r="S38" s="99">
        <f t="shared" ref="S38" si="4">+S34</f>
        <v>330313.68</v>
      </c>
      <c r="T38" s="99">
        <f>SUM(N38:S38)</f>
        <v>225481.28000000029</v>
      </c>
      <c r="U38" s="99">
        <f>U32</f>
        <v>-14307.720000000205</v>
      </c>
    </row>
    <row r="39" spans="1:21" s="52" customFormat="1" x14ac:dyDescent="0.25">
      <c r="A39" s="55"/>
      <c r="B39" s="55"/>
      <c r="C39" s="55"/>
      <c r="D39" s="55"/>
      <c r="E39" s="55"/>
      <c r="F39" s="55"/>
      <c r="G39" s="55"/>
      <c r="H39" s="55"/>
      <c r="I39" s="55"/>
      <c r="J39" s="60"/>
      <c r="K39" s="60"/>
      <c r="L39" s="60"/>
      <c r="M39" s="97" t="s">
        <v>228</v>
      </c>
      <c r="N39" s="128">
        <f>SUMIFS(Table_Query_from_MS_Access_Database[[#All],[Notes]],Table_Query_from_MS_Access_Database[[#All],[Transaction Year]],"2019",Table_Query_from_MS_Access_Database[[#All],[Transaction Type]],"Lapsing")</f>
        <v>0</v>
      </c>
      <c r="O39" s="128">
        <f>SUMIFS(Table_Query_from_MS_Access_Database[[#All],[Notes]],Table_Query_from_MS_Access_Database[[#All],[Transaction Year]],"2019",Table_Query_from_MS_Access_Database[[#All],[Transaction Type]],"Lapsing")</f>
        <v>0</v>
      </c>
      <c r="P39" s="128">
        <f>SUMIFS(Table_Query_from_MS_Access_Database[[#All],[Notes]],Table_Query_from_MS_Access_Database[[#All],[Transaction Year]],"2019",Table_Query_from_MS_Access_Database[[#All],[Transaction Type]],"Lapsing")</f>
        <v>0</v>
      </c>
      <c r="Q39" s="128">
        <f>SUMIFS(Table_Query_from_MS_Access_Database[[#All],[Notes]],Table_Query_from_MS_Access_Database[[#All],[Transaction Year]],"2019",Table_Query_from_MS_Access_Database[[#All],[Transaction Type]],"Lapsing")</f>
        <v>0</v>
      </c>
      <c r="R39" s="128">
        <f>SUMIFS(Table_Query_from_MS_Access_Database[[#All],[Notes]],Table_Query_from_MS_Access_Database[[#All],[Transaction Year]],"2019",Table_Query_from_MS_Access_Database[[#All],[Transaction Type]],"Lapsing")</f>
        <v>0</v>
      </c>
      <c r="S39" s="128">
        <f>SUMIFS(Table_Query_from_MS_Access_Database[[#All],[Notes]],Table_Query_from_MS_Access_Database[[#All],[Transaction Year]],"2019",Table_Query_from_MS_Access_Database[[#All],[Transaction Type]],"Lapsing")</f>
        <v>0</v>
      </c>
      <c r="T39" s="128">
        <f>SUM(N39:S39)</f>
        <v>0</v>
      </c>
      <c r="U39" s="128">
        <f>SUMIFS(Table_Query_from_MS_Access_Database_16[[#All],[To]],Table_Query_from_MS_Access_Database_16[[#All],[Transaction Year]],"2019",Table_Query_from_MS_Access_Database_16[[#All],[Transaction Type]],"Lapsing")</f>
        <v>0</v>
      </c>
    </row>
    <row r="40" spans="1:21" s="52" customFormat="1" x14ac:dyDescent="0.25">
      <c r="A40" s="55"/>
      <c r="B40" s="55"/>
      <c r="C40" s="55"/>
      <c r="D40" s="55"/>
      <c r="E40" s="55"/>
      <c r="F40" s="55"/>
      <c r="G40" s="55"/>
      <c r="H40" s="55"/>
      <c r="I40" s="55"/>
      <c r="J40" s="60"/>
      <c r="K40" s="60"/>
      <c r="L40" s="60"/>
      <c r="M40" s="97" t="s">
        <v>229</v>
      </c>
      <c r="N40" s="100">
        <f t="shared" ref="N40" si="5">SUM(N38:N39)</f>
        <v>0</v>
      </c>
      <c r="O40" s="100">
        <f t="shared" ref="O40:R40" si="6">SUM(O38:O39)</f>
        <v>0.03</v>
      </c>
      <c r="P40" s="100">
        <f t="shared" si="6"/>
        <v>0</v>
      </c>
      <c r="Q40" s="100">
        <f t="shared" si="6"/>
        <v>-107368.4299999997</v>
      </c>
      <c r="R40" s="100">
        <f t="shared" si="6"/>
        <v>2536</v>
      </c>
      <c r="S40" s="100">
        <f t="shared" ref="S40" si="7">SUM(S38:S39)</f>
        <v>330313.68</v>
      </c>
      <c r="T40" s="100">
        <f>SUM(N40:S40)</f>
        <v>225481.28000000029</v>
      </c>
      <c r="U40" s="100">
        <f>SUM(U38:U39)</f>
        <v>-14307.720000000205</v>
      </c>
    </row>
    <row r="41" spans="1:21" s="55" customFormat="1" ht="13.5" x14ac:dyDescent="0.25">
      <c r="J41" s="60"/>
      <c r="K41" s="60"/>
      <c r="L41" s="60"/>
      <c r="M41" s="98" t="s">
        <v>230</v>
      </c>
      <c r="N41" s="128">
        <f>+N38-N34</f>
        <v>0</v>
      </c>
      <c r="O41" s="128">
        <f t="shared" ref="O41:R41" si="8">+O38-O34</f>
        <v>0</v>
      </c>
      <c r="P41" s="128">
        <f t="shared" si="8"/>
        <v>0</v>
      </c>
      <c r="Q41" s="128">
        <f t="shared" si="8"/>
        <v>0</v>
      </c>
      <c r="R41" s="128">
        <f t="shared" si="8"/>
        <v>0</v>
      </c>
      <c r="S41" s="128">
        <f t="shared" ref="S41" si="9">+S38-S34</f>
        <v>0</v>
      </c>
      <c r="T41" s="128">
        <v>0</v>
      </c>
      <c r="U41" s="128">
        <v>0</v>
      </c>
    </row>
    <row r="42" spans="1:21" s="55" customFormat="1" x14ac:dyDescent="0.25">
      <c r="A42" s="52"/>
      <c r="B42" s="52"/>
      <c r="C42" s="52"/>
      <c r="D42" s="52"/>
      <c r="E42" s="52"/>
      <c r="F42" s="52"/>
      <c r="G42" s="52"/>
      <c r="H42" s="52"/>
      <c r="I42" s="52"/>
      <c r="J42" s="54"/>
      <c r="K42" s="54"/>
      <c r="L42" s="54"/>
      <c r="M42" s="54"/>
      <c r="N42" s="54"/>
      <c r="O42" s="54"/>
      <c r="P42" s="54"/>
      <c r="Q42" s="54"/>
      <c r="R42" s="52"/>
      <c r="S42" s="52"/>
    </row>
    <row r="43" spans="1:21" s="55" customFormat="1" x14ac:dyDescent="0.25">
      <c r="A43" s="33"/>
      <c r="B43" s="33"/>
      <c r="C43" s="33"/>
      <c r="D43" s="33"/>
      <c r="E43" s="33"/>
      <c r="F43" s="33"/>
      <c r="G43" s="33"/>
      <c r="H43" s="33"/>
      <c r="I43" s="33"/>
      <c r="J43" s="33"/>
      <c r="K43" s="33"/>
      <c r="L43" s="33"/>
      <c r="M43" s="33"/>
      <c r="N43" s="36"/>
      <c r="O43" s="36"/>
      <c r="P43" s="36"/>
      <c r="Q43" s="36"/>
      <c r="R43" s="36"/>
      <c r="S43" s="36"/>
      <c r="T43" s="36"/>
      <c r="U43" s="33"/>
    </row>
    <row r="44" spans="1:21" s="55" customFormat="1" x14ac:dyDescent="0.25">
      <c r="A44" s="33"/>
      <c r="B44" s="33"/>
      <c r="C44" s="33"/>
      <c r="D44" s="33"/>
      <c r="E44" s="33"/>
      <c r="F44" s="33"/>
      <c r="G44" s="33"/>
      <c r="H44" s="33"/>
      <c r="I44" s="33"/>
      <c r="J44" s="33"/>
      <c r="K44" s="33"/>
      <c r="L44" s="33"/>
      <c r="M44" s="33"/>
      <c r="N44" s="36"/>
      <c r="O44" s="36"/>
      <c r="P44" s="36"/>
      <c r="Q44" s="36"/>
      <c r="R44" s="36"/>
      <c r="S44" s="36"/>
      <c r="T44" s="36"/>
      <c r="U44" s="33"/>
    </row>
    <row r="45" spans="1:21" s="55" customFormat="1" x14ac:dyDescent="0.25">
      <c r="A45" s="33"/>
      <c r="B45" s="33"/>
      <c r="C45" s="33"/>
      <c r="D45" s="33"/>
      <c r="E45" s="33"/>
      <c r="F45" s="33"/>
      <c r="G45" s="33"/>
      <c r="H45" s="33"/>
      <c r="I45" s="33"/>
      <c r="J45" s="33"/>
      <c r="K45" s="33"/>
      <c r="L45" s="33"/>
      <c r="M45" s="33"/>
      <c r="N45" s="36"/>
      <c r="O45" s="36"/>
      <c r="P45" s="36"/>
      <c r="Q45" s="36"/>
      <c r="R45" s="36"/>
      <c r="S45" s="36"/>
      <c r="T45" s="36"/>
      <c r="U45" s="33"/>
    </row>
    <row r="46" spans="1:21" s="52" customFormat="1" x14ac:dyDescent="0.25">
      <c r="A46" s="33"/>
      <c r="B46" s="33"/>
      <c r="C46" s="33"/>
      <c r="D46" s="33"/>
      <c r="E46" s="33"/>
      <c r="F46" s="33"/>
      <c r="G46" s="33"/>
      <c r="H46" s="33"/>
      <c r="I46" s="33"/>
      <c r="J46" s="33"/>
      <c r="K46" s="33"/>
      <c r="L46" s="33"/>
      <c r="M46" s="33"/>
      <c r="N46" s="36"/>
      <c r="O46" s="36"/>
      <c r="P46" s="36"/>
      <c r="Q46" s="36"/>
      <c r="R46" s="36"/>
      <c r="S46" s="36"/>
      <c r="T46" s="36"/>
      <c r="U46" s="33"/>
    </row>
  </sheetData>
  <sheetProtection autoFilter="0"/>
  <mergeCells count="10">
    <mergeCell ref="N36:Q36"/>
    <mergeCell ref="A1:F1"/>
    <mergeCell ref="A14:D14"/>
    <mergeCell ref="A9:L9"/>
    <mergeCell ref="A3:D3"/>
    <mergeCell ref="A4:D4"/>
    <mergeCell ref="J14:M14"/>
    <mergeCell ref="A22:D22"/>
    <mergeCell ref="N2:T2"/>
    <mergeCell ref="N1:T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16"/>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1.140625" style="25" customWidth="1"/>
    <col min="4" max="5" width="10.5703125" style="25" customWidth="1"/>
    <col min="6" max="6" width="19.5703125" style="25" customWidth="1"/>
    <col min="7" max="7" width="25.7109375" style="25" customWidth="1"/>
    <col min="8" max="8" width="64.28515625" style="26" customWidth="1"/>
    <col min="9" max="9" width="14.140625" style="25" customWidth="1"/>
    <col min="10" max="10" width="18.42578125" style="25" customWidth="1"/>
    <col min="11" max="11" width="12.42578125" style="25" customWidth="1"/>
    <col min="12" max="12" width="9.42578125" style="25" customWidth="1"/>
    <col min="13" max="13" width="12.42578125" style="25" customWidth="1"/>
    <col min="14" max="14" width="13.42578125" style="25" customWidth="1"/>
    <col min="15"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1.7109375" style="25" customWidth="1"/>
    <col min="27" max="27" width="10.140625" style="25" customWidth="1"/>
    <col min="28" max="28" width="10.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67" t="str">
        <f>+'Federal Funds Transactions'!A1:F1</f>
        <v>Northern Arizona Council of Governments</v>
      </c>
      <c r="B1" s="167"/>
      <c r="C1" s="167"/>
      <c r="D1" s="167"/>
      <c r="E1" s="167"/>
      <c r="F1" s="167"/>
    </row>
    <row r="2" spans="1:42" ht="14.45" x14ac:dyDescent="0.3">
      <c r="A2" s="27"/>
      <c r="B2" s="27"/>
      <c r="C2" s="27"/>
      <c r="D2" s="27"/>
      <c r="E2" s="27"/>
      <c r="F2" s="27"/>
    </row>
    <row r="3" spans="1:42" ht="14.45" x14ac:dyDescent="0.3">
      <c r="A3" s="168" t="s">
        <v>82</v>
      </c>
      <c r="B3" s="168"/>
      <c r="C3" s="168"/>
      <c r="D3" s="168"/>
      <c r="E3" s="168"/>
      <c r="F3" s="168"/>
    </row>
    <row r="4" spans="1:42" ht="14.45" x14ac:dyDescent="0.3">
      <c r="A4" s="28"/>
      <c r="B4" s="28"/>
      <c r="C4" s="28"/>
      <c r="D4" s="28"/>
      <c r="E4" s="28"/>
      <c r="F4" s="28"/>
    </row>
    <row r="5" spans="1:42" ht="14.45" x14ac:dyDescent="0.3">
      <c r="A5" s="25" t="s">
        <v>81</v>
      </c>
      <c r="B5" s="68">
        <f>+'Federal Funds Transactions'!C5</f>
        <v>43434</v>
      </c>
      <c r="C5" s="27"/>
      <c r="D5" s="27"/>
      <c r="E5" s="27"/>
      <c r="F5" s="27"/>
    </row>
    <row r="6" spans="1:42" ht="14.45" x14ac:dyDescent="0.3">
      <c r="A6" s="27"/>
      <c r="B6" s="27"/>
      <c r="C6" s="27"/>
      <c r="D6" s="27"/>
      <c r="E6" s="27"/>
      <c r="F6" s="27"/>
    </row>
    <row r="7" spans="1:42" ht="15" customHeight="1" x14ac:dyDescent="0.3">
      <c r="A7" s="171" t="str">
        <f>+'Federal Funds Transactions'!A9:L9</f>
        <v>IMPORTANT! Please review the information in the Notes tab for further explanation of the data in this document.</v>
      </c>
      <c r="B7" s="171"/>
      <c r="C7" s="171"/>
      <c r="D7" s="171"/>
      <c r="E7" s="171"/>
      <c r="F7" s="171"/>
      <c r="G7" s="171"/>
      <c r="H7" s="171"/>
    </row>
    <row r="9" spans="1:42" ht="15.75" customHeight="1" x14ac:dyDescent="0.3">
      <c r="A9" s="169" t="s">
        <v>78</v>
      </c>
      <c r="B9" s="169"/>
      <c r="C9" s="169"/>
      <c r="D9" s="169"/>
      <c r="E9" s="169"/>
      <c r="F9" s="169"/>
      <c r="G9" s="16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42</v>
      </c>
      <c r="B11" s="76" t="s">
        <v>43</v>
      </c>
      <c r="C11" s="76" t="s">
        <v>13</v>
      </c>
      <c r="D11" s="76" t="s">
        <v>87</v>
      </c>
      <c r="E11" s="76" t="s">
        <v>88</v>
      </c>
      <c r="F11" s="76" t="s">
        <v>44</v>
      </c>
      <c r="G11" s="76" t="s">
        <v>89</v>
      </c>
      <c r="H11" s="76" t="s">
        <v>90</v>
      </c>
      <c r="I11" s="76" t="s">
        <v>10</v>
      </c>
      <c r="J11" s="76" t="s">
        <v>197</v>
      </c>
      <c r="K11" s="76" t="s">
        <v>4</v>
      </c>
      <c r="L11" s="76" t="s">
        <v>191</v>
      </c>
      <c r="M11" s="76" t="s">
        <v>5</v>
      </c>
      <c r="N11" s="76" t="s">
        <v>106</v>
      </c>
      <c r="O11" s="76" t="s">
        <v>111</v>
      </c>
      <c r="P11" s="76" t="s">
        <v>192</v>
      </c>
      <c r="Q11" s="76" t="s">
        <v>193</v>
      </c>
      <c r="R11" s="76" t="s">
        <v>194</v>
      </c>
      <c r="S11" s="76" t="s">
        <v>198</v>
      </c>
      <c r="T11" s="76" t="s">
        <v>195</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130</v>
      </c>
      <c r="B12" s="62" t="s">
        <v>93</v>
      </c>
      <c r="C12" s="62" t="s">
        <v>131</v>
      </c>
      <c r="D12" s="62" t="s">
        <v>123</v>
      </c>
      <c r="E12" s="62" t="s">
        <v>95</v>
      </c>
      <c r="F12" s="62" t="s">
        <v>118</v>
      </c>
      <c r="G12" s="62" t="s">
        <v>132</v>
      </c>
      <c r="H12" s="62" t="s">
        <v>133</v>
      </c>
      <c r="I12" s="62">
        <v>-600000</v>
      </c>
      <c r="J12" s="62"/>
      <c r="K12" s="62">
        <v>-600000</v>
      </c>
      <c r="L12" s="63"/>
      <c r="M12" s="63"/>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134</v>
      </c>
      <c r="B13" s="63" t="s">
        <v>93</v>
      </c>
      <c r="C13" s="63" t="s">
        <v>135</v>
      </c>
      <c r="D13" s="63" t="s">
        <v>123</v>
      </c>
      <c r="E13" s="63" t="s">
        <v>121</v>
      </c>
      <c r="F13" s="63" t="s">
        <v>100</v>
      </c>
      <c r="G13" s="63"/>
      <c r="H13" s="63" t="s">
        <v>136</v>
      </c>
      <c r="I13" s="63">
        <v>-1515000</v>
      </c>
      <c r="J13" s="63"/>
      <c r="K13" s="63"/>
      <c r="L13" s="63"/>
      <c r="M13" s="63"/>
      <c r="N13" s="132"/>
      <c r="O13" s="132"/>
      <c r="P13" s="132">
        <v>-1515000</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134</v>
      </c>
      <c r="B14" s="63" t="s">
        <v>93</v>
      </c>
      <c r="C14" s="63" t="s">
        <v>137</v>
      </c>
      <c r="D14" s="63" t="s">
        <v>123</v>
      </c>
      <c r="E14" s="63" t="s">
        <v>95</v>
      </c>
      <c r="F14" s="63" t="s">
        <v>96</v>
      </c>
      <c r="G14" s="63"/>
      <c r="H14" s="63" t="s">
        <v>138</v>
      </c>
      <c r="I14" s="63">
        <v>-7367764</v>
      </c>
      <c r="J14" s="63"/>
      <c r="K14" s="63"/>
      <c r="L14" s="63"/>
      <c r="M14" s="63"/>
      <c r="N14" s="132"/>
      <c r="O14" s="132"/>
      <c r="P14" s="132">
        <v>-7367764</v>
      </c>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118</v>
      </c>
      <c r="B15" s="63" t="s">
        <v>93</v>
      </c>
      <c r="C15" s="63" t="s">
        <v>139</v>
      </c>
      <c r="D15" s="63" t="s">
        <v>123</v>
      </c>
      <c r="E15" s="63" t="s">
        <v>95</v>
      </c>
      <c r="F15" s="63" t="s">
        <v>100</v>
      </c>
      <c r="G15" s="63"/>
      <c r="H15" s="63" t="s">
        <v>140</v>
      </c>
      <c r="I15" s="63">
        <v>-1343471</v>
      </c>
      <c r="J15" s="63"/>
      <c r="K15" s="63"/>
      <c r="L15" s="63"/>
      <c r="M15" s="63"/>
      <c r="N15" s="132"/>
      <c r="O15" s="132"/>
      <c r="P15" s="132">
        <v>-1343471</v>
      </c>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118</v>
      </c>
      <c r="B16" s="63" t="s">
        <v>93</v>
      </c>
      <c r="C16" s="63" t="s">
        <v>141</v>
      </c>
      <c r="D16" s="63" t="s">
        <v>123</v>
      </c>
      <c r="E16" s="63" t="s">
        <v>98</v>
      </c>
      <c r="F16" s="63" t="s">
        <v>96</v>
      </c>
      <c r="G16" s="63"/>
      <c r="H16" s="63" t="s">
        <v>142</v>
      </c>
      <c r="I16" s="63">
        <v>-183932</v>
      </c>
      <c r="J16" s="63"/>
      <c r="K16" s="63"/>
      <c r="L16" s="63"/>
      <c r="M16" s="63"/>
      <c r="N16" s="132"/>
      <c r="O16" s="132"/>
      <c r="P16" s="132">
        <v>-183932</v>
      </c>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118</v>
      </c>
      <c r="B17" s="67" t="s">
        <v>94</v>
      </c>
      <c r="C17" s="67" t="s">
        <v>131</v>
      </c>
      <c r="D17" s="67" t="s">
        <v>95</v>
      </c>
      <c r="E17" s="67" t="s">
        <v>123</v>
      </c>
      <c r="F17" s="67"/>
      <c r="G17" s="67" t="s">
        <v>132</v>
      </c>
      <c r="H17" s="67" t="s">
        <v>143</v>
      </c>
      <c r="I17" s="67">
        <v>600000</v>
      </c>
      <c r="J17" s="67"/>
      <c r="K17" s="67">
        <v>600000</v>
      </c>
      <c r="L17" s="67"/>
      <c r="M17" s="67"/>
      <c r="N17" s="132"/>
      <c r="O17" s="132"/>
      <c r="P17" s="132"/>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2" t="s">
        <v>118</v>
      </c>
      <c r="B18" s="93" t="s">
        <v>114</v>
      </c>
      <c r="C18" s="93" t="s">
        <v>144</v>
      </c>
      <c r="D18" s="93" t="s">
        <v>95</v>
      </c>
      <c r="E18" s="93" t="s">
        <v>123</v>
      </c>
      <c r="F18" s="93" t="s">
        <v>118</v>
      </c>
      <c r="G18" s="93" t="s">
        <v>132</v>
      </c>
      <c r="H18" s="93" t="s">
        <v>145</v>
      </c>
      <c r="I18" s="93">
        <v>872494</v>
      </c>
      <c r="J18" s="93"/>
      <c r="K18" s="93">
        <v>872494</v>
      </c>
      <c r="L18" s="93"/>
      <c r="M18" s="93"/>
      <c r="N18" s="132"/>
      <c r="O18" s="132"/>
      <c r="P18" s="132"/>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7" t="s">
        <v>96</v>
      </c>
      <c r="B19" s="109" t="s">
        <v>102</v>
      </c>
      <c r="C19" s="109" t="s">
        <v>146</v>
      </c>
      <c r="D19" s="109" t="s">
        <v>123</v>
      </c>
      <c r="E19" s="109" t="s">
        <v>95</v>
      </c>
      <c r="F19" s="109" t="s">
        <v>103</v>
      </c>
      <c r="G19" s="109"/>
      <c r="H19" s="109" t="s">
        <v>147</v>
      </c>
      <c r="I19" s="109">
        <v>-299144</v>
      </c>
      <c r="J19" s="109"/>
      <c r="K19" s="109">
        <v>-194144</v>
      </c>
      <c r="L19" s="109"/>
      <c r="M19" s="109">
        <v>-105000</v>
      </c>
      <c r="N19" s="132"/>
      <c r="O19" s="132"/>
      <c r="P19" s="132"/>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08" t="s">
        <v>96</v>
      </c>
      <c r="B20" s="110" t="s">
        <v>93</v>
      </c>
      <c r="C20" s="110" t="s">
        <v>148</v>
      </c>
      <c r="D20" s="110" t="s">
        <v>123</v>
      </c>
      <c r="E20" s="110" t="s">
        <v>115</v>
      </c>
      <c r="F20" s="110" t="s">
        <v>149</v>
      </c>
      <c r="G20" s="110"/>
      <c r="H20" s="110" t="s">
        <v>150</v>
      </c>
      <c r="I20" s="110">
        <v>-4252198</v>
      </c>
      <c r="J20" s="110"/>
      <c r="K20" s="110"/>
      <c r="L20" s="110"/>
      <c r="M20" s="110"/>
      <c r="N20" s="132"/>
      <c r="O20" s="132"/>
      <c r="P20" s="132">
        <v>-4252198</v>
      </c>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2" t="s">
        <v>96</v>
      </c>
      <c r="B21" s="113" t="s">
        <v>93</v>
      </c>
      <c r="C21" s="113" t="s">
        <v>151</v>
      </c>
      <c r="D21" s="113" t="s">
        <v>123</v>
      </c>
      <c r="E21" s="113" t="s">
        <v>152</v>
      </c>
      <c r="F21" s="113" t="s">
        <v>100</v>
      </c>
      <c r="G21" s="113"/>
      <c r="H21" s="113" t="s">
        <v>153</v>
      </c>
      <c r="I21" s="113">
        <v>-350000</v>
      </c>
      <c r="J21" s="113"/>
      <c r="K21" s="113">
        <v>-350000</v>
      </c>
      <c r="L21" s="113"/>
      <c r="M21" s="113"/>
      <c r="N21" s="132"/>
      <c r="O21" s="132"/>
      <c r="P21" s="132"/>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4" t="s">
        <v>96</v>
      </c>
      <c r="B22" s="115" t="s">
        <v>93</v>
      </c>
      <c r="C22" s="115" t="s">
        <v>154</v>
      </c>
      <c r="D22" s="115" t="s">
        <v>123</v>
      </c>
      <c r="E22" s="115" t="s">
        <v>95</v>
      </c>
      <c r="F22" s="115" t="s">
        <v>155</v>
      </c>
      <c r="G22" s="115"/>
      <c r="H22" s="115" t="s">
        <v>156</v>
      </c>
      <c r="I22" s="115">
        <v>-4822190</v>
      </c>
      <c r="J22" s="115"/>
      <c r="K22" s="115"/>
      <c r="L22" s="115"/>
      <c r="M22" s="115"/>
      <c r="N22" s="132"/>
      <c r="O22" s="132"/>
      <c r="P22" s="132">
        <v>-4822190</v>
      </c>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6" t="s">
        <v>96</v>
      </c>
      <c r="B23" s="118" t="s">
        <v>93</v>
      </c>
      <c r="C23" s="118" t="s">
        <v>157</v>
      </c>
      <c r="D23" s="118" t="s">
        <v>123</v>
      </c>
      <c r="E23" s="118" t="s">
        <v>158</v>
      </c>
      <c r="F23" s="118" t="s">
        <v>97</v>
      </c>
      <c r="G23" s="118"/>
      <c r="H23" s="118" t="s">
        <v>159</v>
      </c>
      <c r="I23" s="118">
        <v>-185000</v>
      </c>
      <c r="J23" s="118"/>
      <c r="K23" s="118"/>
      <c r="L23" s="118"/>
      <c r="M23" s="118"/>
      <c r="N23" s="132"/>
      <c r="O23" s="132"/>
      <c r="P23" s="132">
        <v>-185000</v>
      </c>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7" t="s">
        <v>96</v>
      </c>
      <c r="B24" s="119" t="s">
        <v>94</v>
      </c>
      <c r="C24" s="119" t="s">
        <v>141</v>
      </c>
      <c r="D24" s="119" t="s">
        <v>98</v>
      </c>
      <c r="E24" s="119" t="s">
        <v>123</v>
      </c>
      <c r="F24" s="119" t="s">
        <v>96</v>
      </c>
      <c r="G24" s="119"/>
      <c r="H24" s="119" t="s">
        <v>160</v>
      </c>
      <c r="I24" s="119">
        <v>183932</v>
      </c>
      <c r="J24" s="119"/>
      <c r="K24" s="119"/>
      <c r="L24" s="119"/>
      <c r="M24" s="119"/>
      <c r="N24" s="132"/>
      <c r="O24" s="132"/>
      <c r="P24" s="132">
        <v>183932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96</v>
      </c>
      <c r="B25" s="25" t="s">
        <v>94</v>
      </c>
      <c r="C25" s="25" t="s">
        <v>137</v>
      </c>
      <c r="D25" s="25" t="s">
        <v>95</v>
      </c>
      <c r="E25" s="25" t="s">
        <v>123</v>
      </c>
      <c r="H25" s="25" t="s">
        <v>161</v>
      </c>
      <c r="I25" s="25">
        <v>7367764</v>
      </c>
      <c r="N25" s="133"/>
      <c r="O25" s="133"/>
      <c r="P25" s="133">
        <v>7367764</v>
      </c>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96</v>
      </c>
      <c r="B26" s="25" t="s">
        <v>110</v>
      </c>
      <c r="C26" s="25" t="s">
        <v>162</v>
      </c>
      <c r="D26" s="25" t="s">
        <v>123</v>
      </c>
      <c r="E26" s="25" t="s">
        <v>95</v>
      </c>
      <c r="H26" s="25" t="s">
        <v>163</v>
      </c>
      <c r="I26" s="25">
        <v>-456850</v>
      </c>
      <c r="K26" s="25">
        <v>-456850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100</v>
      </c>
      <c r="B27" s="25" t="s">
        <v>93</v>
      </c>
      <c r="C27" s="25" t="s">
        <v>164</v>
      </c>
      <c r="D27" s="25" t="s">
        <v>123</v>
      </c>
      <c r="E27" s="25" t="s">
        <v>120</v>
      </c>
      <c r="F27" s="25" t="s">
        <v>99</v>
      </c>
      <c r="H27" s="25" t="s">
        <v>165</v>
      </c>
      <c r="I27" s="25">
        <v>-280053</v>
      </c>
      <c r="N27" s="133"/>
      <c r="O27" s="133"/>
      <c r="P27" s="133">
        <v>-280053</v>
      </c>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100</v>
      </c>
      <c r="B28" s="25" t="s">
        <v>94</v>
      </c>
      <c r="C28" s="25" t="s">
        <v>139</v>
      </c>
      <c r="D28" s="25" t="s">
        <v>95</v>
      </c>
      <c r="E28" s="25" t="s">
        <v>123</v>
      </c>
      <c r="H28" s="25" t="s">
        <v>166</v>
      </c>
      <c r="I28" s="25">
        <v>1343471</v>
      </c>
      <c r="N28" s="133"/>
      <c r="O28" s="133"/>
      <c r="P28" s="133">
        <v>1343471</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100</v>
      </c>
      <c r="B29" s="25" t="s">
        <v>94</v>
      </c>
      <c r="C29" s="25" t="s">
        <v>135</v>
      </c>
      <c r="D29" s="25" t="s">
        <v>121</v>
      </c>
      <c r="E29" s="25" t="s">
        <v>123</v>
      </c>
      <c r="H29" s="25" t="s">
        <v>167</v>
      </c>
      <c r="I29" s="25">
        <v>1515000</v>
      </c>
      <c r="N29" s="133"/>
      <c r="O29" s="133"/>
      <c r="P29" s="133">
        <v>1515000</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100</v>
      </c>
      <c r="B30" s="25" t="s">
        <v>94</v>
      </c>
      <c r="C30" s="25" t="s">
        <v>151</v>
      </c>
      <c r="D30" s="25" t="s">
        <v>152</v>
      </c>
      <c r="E30" s="25" t="s">
        <v>123</v>
      </c>
      <c r="F30" s="25" t="s">
        <v>100</v>
      </c>
      <c r="H30" s="25" t="s">
        <v>168</v>
      </c>
      <c r="I30" s="25">
        <v>350000</v>
      </c>
      <c r="K30" s="25">
        <v>350000</v>
      </c>
      <c r="N30" s="133"/>
      <c r="O30" s="133"/>
      <c r="P30" s="133"/>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100</v>
      </c>
      <c r="B31" s="25" t="s">
        <v>94</v>
      </c>
      <c r="C31" s="25" t="s">
        <v>154</v>
      </c>
      <c r="D31" s="25" t="s">
        <v>95</v>
      </c>
      <c r="E31" s="25" t="s">
        <v>123</v>
      </c>
      <c r="H31" s="25" t="s">
        <v>156</v>
      </c>
      <c r="I31" s="25">
        <v>3286214</v>
      </c>
      <c r="N31" s="133"/>
      <c r="O31" s="133"/>
      <c r="P31" s="133">
        <v>3286214</v>
      </c>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99</v>
      </c>
      <c r="B32" s="25" t="s">
        <v>94</v>
      </c>
      <c r="C32" s="25" t="s">
        <v>148</v>
      </c>
      <c r="D32" s="25" t="s">
        <v>115</v>
      </c>
      <c r="E32" s="25" t="s">
        <v>123</v>
      </c>
      <c r="F32" s="25" t="s">
        <v>99</v>
      </c>
      <c r="H32" s="25" t="s">
        <v>150</v>
      </c>
      <c r="I32" s="25">
        <v>1200000</v>
      </c>
      <c r="N32" s="133"/>
      <c r="O32" s="133"/>
      <c r="P32" s="133">
        <v>1200000</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99</v>
      </c>
      <c r="B33" s="25" t="s">
        <v>94</v>
      </c>
      <c r="C33" s="25" t="s">
        <v>154</v>
      </c>
      <c r="D33" s="25" t="s">
        <v>95</v>
      </c>
      <c r="E33" s="25" t="s">
        <v>123</v>
      </c>
      <c r="H33" s="25" t="s">
        <v>156</v>
      </c>
      <c r="I33" s="25">
        <v>1437910</v>
      </c>
      <c r="N33" s="133"/>
      <c r="O33" s="133"/>
      <c r="P33" s="133">
        <v>1437910</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99</v>
      </c>
      <c r="B34" s="25" t="s">
        <v>94</v>
      </c>
      <c r="C34" s="25" t="s">
        <v>164</v>
      </c>
      <c r="D34" s="25" t="s">
        <v>120</v>
      </c>
      <c r="E34" s="25" t="s">
        <v>123</v>
      </c>
      <c r="F34" s="25" t="s">
        <v>99</v>
      </c>
      <c r="H34" s="25" t="s">
        <v>165</v>
      </c>
      <c r="I34" s="25">
        <v>280053</v>
      </c>
      <c r="N34" s="133"/>
      <c r="O34" s="133"/>
      <c r="P34" s="133">
        <v>280053</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104</v>
      </c>
      <c r="B35" s="25" t="s">
        <v>93</v>
      </c>
      <c r="C35" s="25" t="s">
        <v>122</v>
      </c>
      <c r="D35" s="25" t="s">
        <v>123</v>
      </c>
      <c r="E35" s="25" t="s">
        <v>119</v>
      </c>
      <c r="F35" s="25" t="s">
        <v>105</v>
      </c>
      <c r="G35" s="25" t="s">
        <v>124</v>
      </c>
      <c r="H35" s="25" t="s">
        <v>125</v>
      </c>
      <c r="I35" s="25">
        <v>-643000</v>
      </c>
      <c r="N35" s="133"/>
      <c r="O35" s="133">
        <v>-643000</v>
      </c>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104</v>
      </c>
      <c r="B36" s="25" t="s">
        <v>93</v>
      </c>
      <c r="C36" s="25" t="s">
        <v>169</v>
      </c>
      <c r="D36" s="25" t="s">
        <v>123</v>
      </c>
      <c r="E36" s="25" t="s">
        <v>152</v>
      </c>
      <c r="F36" s="25" t="s">
        <v>97</v>
      </c>
      <c r="G36" s="25" t="s">
        <v>170</v>
      </c>
      <c r="H36" s="25" t="s">
        <v>171</v>
      </c>
      <c r="I36" s="25">
        <v>-650000</v>
      </c>
      <c r="N36" s="133"/>
      <c r="O36" s="133"/>
      <c r="P36" s="133">
        <v>-650000</v>
      </c>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130" t="s">
        <v>104</v>
      </c>
      <c r="B37" s="130" t="s">
        <v>93</v>
      </c>
      <c r="C37" s="130" t="s">
        <v>172</v>
      </c>
      <c r="D37" s="130" t="s">
        <v>123</v>
      </c>
      <c r="E37" s="130" t="s">
        <v>120</v>
      </c>
      <c r="F37" s="130" t="s">
        <v>105</v>
      </c>
      <c r="G37" s="130" t="s">
        <v>170</v>
      </c>
      <c r="H37" s="130" t="s">
        <v>173</v>
      </c>
      <c r="I37" s="130">
        <v>-151000</v>
      </c>
      <c r="J37" s="130"/>
      <c r="K37" s="130"/>
      <c r="L37" s="130"/>
      <c r="M37" s="130"/>
      <c r="N37" s="133"/>
      <c r="O37" s="133"/>
      <c r="P37" s="133">
        <v>-151000</v>
      </c>
      <c r="Q37" s="133"/>
      <c r="R37" s="133"/>
      <c r="S37" s="133"/>
      <c r="U37" s="133"/>
      <c r="V37" s="133"/>
      <c r="W37" s="133"/>
      <c r="X37" s="133"/>
      <c r="Y37" s="133"/>
      <c r="Z37" s="73"/>
      <c r="AA37" s="73"/>
      <c r="AB37" s="73"/>
      <c r="AC37" s="73"/>
      <c r="AH37" s="9"/>
      <c r="AI37" s="9"/>
      <c r="AJ37" s="9"/>
      <c r="AK37" s="9"/>
      <c r="AL37" s="9"/>
      <c r="AM37" s="9"/>
      <c r="AN37" s="9"/>
      <c r="AO37" s="9"/>
      <c r="AP37" s="9"/>
    </row>
    <row r="38" spans="1:42" x14ac:dyDescent="0.25">
      <c r="A38" s="130" t="s">
        <v>104</v>
      </c>
      <c r="B38" s="130" t="s">
        <v>94</v>
      </c>
      <c r="C38" s="130" t="s">
        <v>148</v>
      </c>
      <c r="D38" s="130" t="s">
        <v>115</v>
      </c>
      <c r="E38" s="130" t="s">
        <v>123</v>
      </c>
      <c r="F38" s="130" t="s">
        <v>104</v>
      </c>
      <c r="G38" s="130"/>
      <c r="H38" s="130" t="s">
        <v>150</v>
      </c>
      <c r="I38" s="130">
        <v>2000000</v>
      </c>
      <c r="J38" s="130"/>
      <c r="K38" s="130"/>
      <c r="L38" s="130"/>
      <c r="M38" s="130"/>
      <c r="N38" s="133"/>
      <c r="O38" s="133"/>
      <c r="P38" s="133">
        <v>2000000</v>
      </c>
      <c r="Q38" s="133"/>
      <c r="R38" s="133"/>
      <c r="S38" s="133"/>
      <c r="U38" s="133"/>
      <c r="V38" s="133"/>
      <c r="W38" s="133"/>
      <c r="X38" s="133"/>
      <c r="Y38" s="133"/>
      <c r="Z38" s="73"/>
      <c r="AA38" s="73"/>
      <c r="AB38" s="73"/>
      <c r="AC38" s="73"/>
      <c r="AH38" s="9"/>
      <c r="AI38" s="9"/>
      <c r="AJ38" s="9"/>
      <c r="AK38" s="9"/>
      <c r="AL38" s="9"/>
      <c r="AM38" s="9"/>
      <c r="AN38" s="9"/>
      <c r="AO38" s="9"/>
      <c r="AP38" s="9"/>
    </row>
    <row r="39" spans="1:42" x14ac:dyDescent="0.25">
      <c r="A39" s="130" t="s">
        <v>104</v>
      </c>
      <c r="B39" s="130" t="s">
        <v>94</v>
      </c>
      <c r="C39" s="130" t="s">
        <v>154</v>
      </c>
      <c r="D39" s="130" t="s">
        <v>95</v>
      </c>
      <c r="E39" s="130" t="s">
        <v>123</v>
      </c>
      <c r="F39" s="130" t="s">
        <v>104</v>
      </c>
      <c r="G39" s="130"/>
      <c r="H39" s="130" t="s">
        <v>156</v>
      </c>
      <c r="I39" s="130">
        <v>98066</v>
      </c>
      <c r="J39" s="130"/>
      <c r="K39" s="130"/>
      <c r="L39" s="130"/>
      <c r="M39" s="130"/>
      <c r="N39" s="133"/>
      <c r="O39" s="133"/>
      <c r="P39" s="133">
        <v>98066</v>
      </c>
      <c r="Q39" s="133"/>
      <c r="R39" s="133"/>
      <c r="S39" s="133"/>
      <c r="U39" s="133"/>
      <c r="V39" s="133"/>
      <c r="W39" s="133"/>
      <c r="X39" s="133"/>
      <c r="Y39" s="133"/>
      <c r="Z39" s="73"/>
      <c r="AA39" s="73"/>
      <c r="AB39" s="73"/>
      <c r="AC39" s="73"/>
      <c r="AH39" s="9"/>
      <c r="AI39" s="9"/>
      <c r="AJ39" s="9"/>
      <c r="AK39" s="9"/>
      <c r="AL39" s="9"/>
      <c r="AM39" s="9"/>
      <c r="AN39" s="9"/>
      <c r="AO39" s="9"/>
      <c r="AP39" s="9"/>
    </row>
    <row r="40" spans="1:42" x14ac:dyDescent="0.25">
      <c r="A40" s="130" t="s">
        <v>104</v>
      </c>
      <c r="B40" s="130" t="s">
        <v>114</v>
      </c>
      <c r="C40" s="130" t="s">
        <v>174</v>
      </c>
      <c r="D40" s="130" t="s">
        <v>152</v>
      </c>
      <c r="E40" s="130" t="s">
        <v>123</v>
      </c>
      <c r="F40" s="130" t="s">
        <v>103</v>
      </c>
      <c r="G40" s="130" t="s">
        <v>117</v>
      </c>
      <c r="H40" s="130" t="s">
        <v>175</v>
      </c>
      <c r="I40" s="130">
        <v>45000</v>
      </c>
      <c r="J40" s="130"/>
      <c r="K40" s="130">
        <v>45000</v>
      </c>
      <c r="L40" s="130"/>
      <c r="M40" s="130"/>
      <c r="N40" s="133"/>
      <c r="O40" s="133"/>
      <c r="P40" s="133"/>
      <c r="Q40" s="133"/>
      <c r="R40" s="133"/>
      <c r="S40" s="133"/>
      <c r="U40" s="133"/>
      <c r="V40" s="133"/>
      <c r="W40" s="133"/>
      <c r="X40" s="133"/>
      <c r="Y40" s="133"/>
      <c r="Z40" s="73"/>
      <c r="AA40" s="73"/>
      <c r="AB40" s="73"/>
      <c r="AC40" s="73"/>
      <c r="AH40" s="9"/>
      <c r="AI40" s="9"/>
      <c r="AJ40" s="9"/>
      <c r="AK40" s="9"/>
      <c r="AL40" s="9"/>
      <c r="AM40" s="9"/>
      <c r="AN40" s="9"/>
      <c r="AO40" s="9"/>
      <c r="AP40" s="9"/>
    </row>
    <row r="41" spans="1:42" x14ac:dyDescent="0.25">
      <c r="A41" s="130" t="s">
        <v>104</v>
      </c>
      <c r="B41" s="130" t="s">
        <v>114</v>
      </c>
      <c r="C41" s="130" t="s">
        <v>176</v>
      </c>
      <c r="D41" s="130" t="s">
        <v>116</v>
      </c>
      <c r="E41" s="130" t="s">
        <v>123</v>
      </c>
      <c r="F41" s="130" t="s">
        <v>103</v>
      </c>
      <c r="G41" s="130" t="s">
        <v>126</v>
      </c>
      <c r="H41" s="130" t="s">
        <v>177</v>
      </c>
      <c r="I41" s="130">
        <v>141056</v>
      </c>
      <c r="J41" s="130"/>
      <c r="K41" s="130">
        <v>141056</v>
      </c>
      <c r="L41" s="130"/>
      <c r="M41" s="130"/>
      <c r="N41" s="133"/>
      <c r="O41" s="133"/>
      <c r="P41" s="133"/>
      <c r="Q41" s="133"/>
      <c r="R41" s="133"/>
      <c r="S41" s="133"/>
      <c r="U41" s="133"/>
      <c r="V41" s="133"/>
      <c r="W41" s="133"/>
      <c r="X41" s="133"/>
      <c r="Y41" s="133"/>
      <c r="Z41" s="73"/>
      <c r="AA41" s="73"/>
      <c r="AB41" s="73"/>
      <c r="AC41" s="73"/>
      <c r="AH41" s="9"/>
      <c r="AI41" s="9"/>
      <c r="AJ41" s="9"/>
      <c r="AK41" s="9"/>
      <c r="AL41" s="9"/>
      <c r="AM41" s="9"/>
      <c r="AN41" s="9"/>
      <c r="AO41" s="9"/>
      <c r="AP41" s="9"/>
    </row>
    <row r="42" spans="1:42" x14ac:dyDescent="0.25">
      <c r="A42" s="130" t="s">
        <v>104</v>
      </c>
      <c r="B42" s="130" t="s">
        <v>110</v>
      </c>
      <c r="C42" s="130" t="s">
        <v>178</v>
      </c>
      <c r="D42" s="130" t="s">
        <v>123</v>
      </c>
      <c r="E42" s="130" t="s">
        <v>95</v>
      </c>
      <c r="F42" s="130" t="s">
        <v>103</v>
      </c>
      <c r="G42" s="130" t="s">
        <v>179</v>
      </c>
      <c r="H42" s="130" t="s">
        <v>180</v>
      </c>
      <c r="I42" s="130">
        <v>-291818</v>
      </c>
      <c r="J42" s="130"/>
      <c r="K42" s="130"/>
      <c r="L42" s="130"/>
      <c r="M42" s="130"/>
      <c r="N42" s="133"/>
      <c r="O42" s="133"/>
      <c r="P42" s="133">
        <v>-291818</v>
      </c>
      <c r="Q42" s="133"/>
      <c r="R42" s="133"/>
      <c r="S42" s="133"/>
      <c r="U42" s="133"/>
      <c r="V42" s="133"/>
      <c r="W42" s="133"/>
      <c r="X42" s="133"/>
      <c r="Y42" s="133"/>
      <c r="Z42" s="73"/>
      <c r="AA42" s="73"/>
      <c r="AB42" s="73"/>
      <c r="AC42" s="73"/>
      <c r="AH42" s="9"/>
      <c r="AI42" s="9"/>
      <c r="AJ42" s="9"/>
      <c r="AK42" s="9"/>
      <c r="AL42" s="9"/>
      <c r="AM42" s="9"/>
      <c r="AN42" s="9"/>
      <c r="AO42" s="9"/>
      <c r="AP42" s="9"/>
    </row>
    <row r="43" spans="1:42" x14ac:dyDescent="0.25">
      <c r="A43" s="130" t="s">
        <v>105</v>
      </c>
      <c r="B43" s="130" t="s">
        <v>93</v>
      </c>
      <c r="C43" s="130" t="s">
        <v>205</v>
      </c>
      <c r="D43" s="130" t="s">
        <v>123</v>
      </c>
      <c r="E43" s="130" t="s">
        <v>95</v>
      </c>
      <c r="F43" s="130" t="s">
        <v>97</v>
      </c>
      <c r="G43" s="130" t="s">
        <v>206</v>
      </c>
      <c r="H43" s="130" t="s">
        <v>207</v>
      </c>
      <c r="I43" s="130">
        <v>-1168591</v>
      </c>
      <c r="J43" s="130"/>
      <c r="K43" s="130"/>
      <c r="L43" s="130"/>
      <c r="M43" s="130"/>
      <c r="N43" s="133"/>
      <c r="O43" s="133"/>
      <c r="P43" s="133">
        <v>-1168591</v>
      </c>
      <c r="Q43" s="133"/>
      <c r="R43" s="133"/>
      <c r="S43" s="133"/>
      <c r="U43" s="133"/>
      <c r="V43" s="133"/>
      <c r="W43" s="133"/>
      <c r="X43" s="133"/>
      <c r="Y43" s="133"/>
      <c r="Z43" s="73"/>
      <c r="AA43" s="73"/>
      <c r="AB43" s="73"/>
      <c r="AC43" s="73"/>
      <c r="AH43" s="9"/>
      <c r="AI43" s="9"/>
      <c r="AJ43" s="9"/>
      <c r="AK43" s="9"/>
      <c r="AL43" s="9"/>
      <c r="AM43" s="9"/>
      <c r="AN43" s="9"/>
      <c r="AO43" s="9"/>
      <c r="AP43" s="9"/>
    </row>
    <row r="44" spans="1:42" x14ac:dyDescent="0.25">
      <c r="A44" s="130" t="s">
        <v>105</v>
      </c>
      <c r="B44" s="130" t="s">
        <v>93</v>
      </c>
      <c r="C44" s="130" t="s">
        <v>208</v>
      </c>
      <c r="D44" s="130" t="s">
        <v>123</v>
      </c>
      <c r="E44" s="130" t="s">
        <v>95</v>
      </c>
      <c r="F44" s="130" t="s">
        <v>97</v>
      </c>
      <c r="G44" s="130" t="s">
        <v>206</v>
      </c>
      <c r="H44" s="130" t="s">
        <v>207</v>
      </c>
      <c r="I44" s="130">
        <v>-186713.57</v>
      </c>
      <c r="J44" s="130"/>
      <c r="K44" s="130"/>
      <c r="L44" s="130"/>
      <c r="M44" s="130"/>
      <c r="N44" s="133"/>
      <c r="O44" s="133"/>
      <c r="P44" s="133">
        <v>-186713.57</v>
      </c>
      <c r="Q44" s="133"/>
      <c r="R44" s="133"/>
      <c r="S44" s="133"/>
      <c r="U44" s="133"/>
      <c r="V44" s="133"/>
      <c r="W44" s="133"/>
      <c r="X44" s="133"/>
      <c r="Y44" s="133"/>
      <c r="Z44" s="73"/>
      <c r="AA44" s="73"/>
      <c r="AB44" s="73"/>
      <c r="AC44" s="73"/>
      <c r="AH44" s="9"/>
      <c r="AI44" s="9"/>
      <c r="AJ44" s="9"/>
      <c r="AK44" s="9"/>
      <c r="AL44" s="9"/>
      <c r="AM44" s="9"/>
      <c r="AN44" s="9"/>
      <c r="AO44" s="9"/>
      <c r="AP44" s="9"/>
    </row>
    <row r="45" spans="1:42" x14ac:dyDescent="0.25">
      <c r="A45" s="130" t="s">
        <v>105</v>
      </c>
      <c r="B45" s="130" t="s">
        <v>94</v>
      </c>
      <c r="C45" s="130" t="s">
        <v>148</v>
      </c>
      <c r="D45" s="130" t="s">
        <v>115</v>
      </c>
      <c r="E45" s="130" t="s">
        <v>123</v>
      </c>
      <c r="F45" s="130" t="s">
        <v>105</v>
      </c>
      <c r="G45" s="130"/>
      <c r="H45" s="130" t="s">
        <v>150</v>
      </c>
      <c r="I45" s="130">
        <v>480698</v>
      </c>
      <c r="J45" s="130"/>
      <c r="K45" s="130"/>
      <c r="L45" s="130"/>
      <c r="M45" s="130"/>
      <c r="N45" s="133"/>
      <c r="O45" s="133"/>
      <c r="P45" s="133">
        <v>480698</v>
      </c>
      <c r="Q45" s="133"/>
      <c r="R45" s="133"/>
      <c r="S45" s="133"/>
      <c r="U45" s="133"/>
      <c r="V45" s="133"/>
      <c r="W45" s="133"/>
      <c r="X45" s="133"/>
      <c r="Y45" s="133"/>
      <c r="Z45" s="73"/>
      <c r="AA45" s="73"/>
      <c r="AB45" s="73"/>
      <c r="AC45" s="73"/>
      <c r="AH45" s="9"/>
      <c r="AI45" s="9"/>
      <c r="AJ45" s="9"/>
      <c r="AK45" s="9"/>
      <c r="AL45" s="9"/>
      <c r="AM45" s="9"/>
      <c r="AN45" s="9"/>
      <c r="AO45" s="9"/>
      <c r="AP45" s="9"/>
    </row>
    <row r="46" spans="1:42" x14ac:dyDescent="0.25">
      <c r="A46" s="130" t="s">
        <v>105</v>
      </c>
      <c r="B46" s="130" t="s">
        <v>94</v>
      </c>
      <c r="C46" s="130" t="s">
        <v>122</v>
      </c>
      <c r="D46" s="130" t="s">
        <v>119</v>
      </c>
      <c r="E46" s="130" t="s">
        <v>123</v>
      </c>
      <c r="F46" s="130" t="s">
        <v>105</v>
      </c>
      <c r="G46" s="130" t="s">
        <v>124</v>
      </c>
      <c r="H46" s="130" t="s">
        <v>125</v>
      </c>
      <c r="I46" s="130">
        <v>643000</v>
      </c>
      <c r="J46" s="130"/>
      <c r="K46" s="130"/>
      <c r="L46" s="130"/>
      <c r="M46" s="130"/>
      <c r="N46" s="133"/>
      <c r="O46" s="133">
        <v>643000</v>
      </c>
      <c r="P46" s="133"/>
      <c r="Q46" s="133"/>
      <c r="R46" s="133"/>
      <c r="S46" s="133"/>
      <c r="U46" s="133"/>
      <c r="V46" s="133"/>
      <c r="W46" s="133"/>
      <c r="X46" s="133"/>
      <c r="Y46" s="133"/>
      <c r="Z46" s="73"/>
      <c r="AA46" s="73"/>
      <c r="AB46" s="73"/>
      <c r="AC46" s="73"/>
      <c r="AH46" s="9"/>
      <c r="AI46" s="9"/>
      <c r="AJ46" s="9"/>
      <c r="AK46" s="9"/>
      <c r="AL46" s="9"/>
      <c r="AM46" s="9"/>
      <c r="AN46" s="9"/>
      <c r="AO46" s="9"/>
      <c r="AP46" s="9"/>
    </row>
    <row r="47" spans="1:42" x14ac:dyDescent="0.25">
      <c r="A47" s="130" t="s">
        <v>105</v>
      </c>
      <c r="B47" s="130" t="s">
        <v>94</v>
      </c>
      <c r="C47" s="130" t="s">
        <v>172</v>
      </c>
      <c r="D47" s="130" t="s">
        <v>120</v>
      </c>
      <c r="E47" s="130" t="s">
        <v>123</v>
      </c>
      <c r="F47" s="130" t="s">
        <v>105</v>
      </c>
      <c r="G47" s="130" t="s">
        <v>170</v>
      </c>
      <c r="H47" s="130" t="s">
        <v>173</v>
      </c>
      <c r="I47" s="130">
        <v>151000</v>
      </c>
      <c r="J47" s="130"/>
      <c r="K47" s="130"/>
      <c r="L47" s="130"/>
      <c r="M47" s="130"/>
      <c r="N47" s="133"/>
      <c r="O47" s="133"/>
      <c r="P47" s="133">
        <v>151000</v>
      </c>
      <c r="Q47" s="133"/>
      <c r="R47" s="133"/>
      <c r="S47" s="133"/>
      <c r="U47" s="133"/>
      <c r="V47" s="133"/>
      <c r="W47" s="133"/>
      <c r="X47" s="133"/>
      <c r="Y47" s="133"/>
      <c r="Z47" s="73"/>
      <c r="AA47" s="73"/>
      <c r="AB47" s="73"/>
      <c r="AC47" s="73"/>
      <c r="AH47" s="9"/>
      <c r="AI47" s="9"/>
      <c r="AJ47" s="9"/>
      <c r="AK47" s="9"/>
      <c r="AL47" s="9"/>
      <c r="AM47" s="9"/>
      <c r="AN47" s="9"/>
      <c r="AO47" s="9"/>
      <c r="AP47" s="9"/>
    </row>
    <row r="48" spans="1:42" x14ac:dyDescent="0.25">
      <c r="A48" s="130" t="s">
        <v>105</v>
      </c>
      <c r="B48" s="130" t="s">
        <v>114</v>
      </c>
      <c r="C48" s="130" t="s">
        <v>211</v>
      </c>
      <c r="D48" s="130" t="s">
        <v>95</v>
      </c>
      <c r="E48" s="130" t="s">
        <v>123</v>
      </c>
      <c r="F48" s="130" t="s">
        <v>105</v>
      </c>
      <c r="G48" s="130" t="s">
        <v>189</v>
      </c>
      <c r="H48" s="130" t="s">
        <v>212</v>
      </c>
      <c r="I48" s="130">
        <v>1060338</v>
      </c>
      <c r="J48" s="130">
        <v>1060338</v>
      </c>
      <c r="K48" s="130"/>
      <c r="L48" s="130"/>
      <c r="M48" s="130"/>
      <c r="N48" s="133"/>
      <c r="O48" s="133"/>
      <c r="P48" s="133"/>
      <c r="Q48" s="133"/>
      <c r="R48" s="133"/>
      <c r="S48" s="133"/>
      <c r="U48" s="133"/>
      <c r="V48" s="133"/>
      <c r="W48" s="133"/>
      <c r="X48" s="133"/>
      <c r="Y48" s="133"/>
      <c r="Z48" s="73"/>
      <c r="AA48" s="73"/>
      <c r="AB48" s="73"/>
      <c r="AC48" s="73"/>
      <c r="AH48" s="9"/>
      <c r="AI48" s="9"/>
      <c r="AJ48" s="9"/>
      <c r="AK48" s="9"/>
      <c r="AL48" s="9"/>
      <c r="AM48" s="9"/>
      <c r="AN48" s="9"/>
      <c r="AO48" s="9"/>
      <c r="AP48" s="9"/>
    </row>
    <row r="49" spans="1:42" x14ac:dyDescent="0.25">
      <c r="A49" s="130" t="s">
        <v>105</v>
      </c>
      <c r="B49" s="130" t="s">
        <v>114</v>
      </c>
      <c r="C49" s="130" t="s">
        <v>218</v>
      </c>
      <c r="D49" s="130" t="s">
        <v>95</v>
      </c>
      <c r="E49" s="130" t="s">
        <v>123</v>
      </c>
      <c r="F49" s="130" t="s">
        <v>105</v>
      </c>
      <c r="G49" s="130" t="s">
        <v>204</v>
      </c>
      <c r="H49" s="130" t="s">
        <v>212</v>
      </c>
      <c r="I49" s="130">
        <v>140510</v>
      </c>
      <c r="J49" s="130">
        <v>140510</v>
      </c>
      <c r="K49" s="130"/>
      <c r="L49" s="130"/>
      <c r="M49" s="130"/>
      <c r="N49" s="133"/>
      <c r="O49" s="133"/>
      <c r="P49" s="133"/>
      <c r="Q49" s="133"/>
      <c r="R49" s="133"/>
      <c r="S49" s="133"/>
      <c r="U49" s="133"/>
      <c r="V49" s="133"/>
      <c r="W49" s="133"/>
      <c r="X49" s="133"/>
      <c r="Y49" s="133"/>
      <c r="Z49" s="73"/>
      <c r="AA49" s="73"/>
      <c r="AB49" s="73"/>
      <c r="AC49" s="73"/>
      <c r="AH49" s="9"/>
      <c r="AI49" s="9"/>
      <c r="AJ49" s="9"/>
      <c r="AK49" s="9"/>
      <c r="AL49" s="9"/>
      <c r="AM49" s="9"/>
      <c r="AN49" s="9"/>
      <c r="AO49" s="9"/>
      <c r="AP49" s="9"/>
    </row>
    <row r="50" spans="1:42" x14ac:dyDescent="0.25">
      <c r="A50" s="130" t="s">
        <v>105</v>
      </c>
      <c r="B50" s="130" t="s">
        <v>110</v>
      </c>
      <c r="C50" s="130" t="s">
        <v>211</v>
      </c>
      <c r="D50" s="130" t="s">
        <v>123</v>
      </c>
      <c r="E50" s="130" t="s">
        <v>95</v>
      </c>
      <c r="F50" s="130" t="s">
        <v>105</v>
      </c>
      <c r="G50" s="130" t="s">
        <v>189</v>
      </c>
      <c r="H50" s="130" t="s">
        <v>213</v>
      </c>
      <c r="I50" s="130">
        <v>-1178153</v>
      </c>
      <c r="J50" s="130"/>
      <c r="K50" s="130"/>
      <c r="L50" s="130"/>
      <c r="M50" s="130"/>
      <c r="N50" s="133"/>
      <c r="O50" s="133">
        <v>-1178153</v>
      </c>
      <c r="P50" s="133"/>
      <c r="Q50" s="133"/>
      <c r="R50" s="133"/>
      <c r="S50" s="133"/>
      <c r="U50" s="133"/>
      <c r="V50" s="133"/>
      <c r="W50" s="133"/>
      <c r="X50" s="133"/>
      <c r="Y50" s="133"/>
      <c r="Z50" s="73"/>
      <c r="AA50" s="73"/>
      <c r="AB50" s="73"/>
      <c r="AC50" s="73"/>
      <c r="AH50" s="9"/>
      <c r="AI50" s="9"/>
      <c r="AJ50" s="9"/>
      <c r="AK50" s="9"/>
      <c r="AL50" s="9"/>
      <c r="AM50" s="9"/>
      <c r="AN50" s="9"/>
      <c r="AO50" s="9"/>
      <c r="AP50" s="9"/>
    </row>
    <row r="51" spans="1:42" x14ac:dyDescent="0.25">
      <c r="A51" s="25" t="s">
        <v>105</v>
      </c>
      <c r="B51" s="25" t="s">
        <v>110</v>
      </c>
      <c r="C51" s="25" t="s">
        <v>218</v>
      </c>
      <c r="D51" s="25" t="s">
        <v>123</v>
      </c>
      <c r="E51" s="25" t="s">
        <v>95</v>
      </c>
      <c r="F51" s="25" t="s">
        <v>105</v>
      </c>
      <c r="G51" s="25" t="s">
        <v>204</v>
      </c>
      <c r="H51" s="25" t="s">
        <v>213</v>
      </c>
      <c r="I51" s="25">
        <v>-156122</v>
      </c>
      <c r="O51" s="25">
        <v>-156122</v>
      </c>
      <c r="U51" s="133"/>
      <c r="V51" s="133"/>
      <c r="W51" s="133"/>
      <c r="X51" s="133"/>
      <c r="Y51" s="133"/>
      <c r="Z51" s="73"/>
      <c r="AA51" s="73"/>
      <c r="AB51" s="73"/>
      <c r="AC51" s="73"/>
      <c r="AH51" s="9"/>
      <c r="AI51" s="9"/>
      <c r="AJ51" s="9"/>
      <c r="AK51" s="9"/>
      <c r="AL51" s="9"/>
      <c r="AM51" s="9"/>
      <c r="AN51" s="9"/>
      <c r="AO51" s="9"/>
      <c r="AP51" s="9"/>
    </row>
    <row r="52" spans="1:42" x14ac:dyDescent="0.25">
      <c r="A52" s="25" t="s">
        <v>105</v>
      </c>
      <c r="B52" s="25" t="s">
        <v>110</v>
      </c>
      <c r="C52" s="25" t="s">
        <v>181</v>
      </c>
      <c r="D52" s="25" t="s">
        <v>123</v>
      </c>
      <c r="E52" s="25" t="s">
        <v>95</v>
      </c>
      <c r="F52" s="25" t="s">
        <v>105</v>
      </c>
      <c r="G52" s="25" t="s">
        <v>182</v>
      </c>
      <c r="H52" s="25" t="s">
        <v>180</v>
      </c>
      <c r="I52" s="25">
        <v>-143805</v>
      </c>
      <c r="P52" s="25">
        <v>-143805</v>
      </c>
      <c r="U52" s="133"/>
      <c r="V52" s="133"/>
      <c r="W52" s="133"/>
      <c r="X52" s="133"/>
      <c r="Y52" s="133"/>
      <c r="Z52" s="73"/>
      <c r="AA52" s="73"/>
      <c r="AB52" s="73"/>
      <c r="AC52" s="73"/>
      <c r="AH52" s="9"/>
      <c r="AI52" s="9"/>
      <c r="AJ52" s="9"/>
      <c r="AK52" s="9"/>
      <c r="AL52" s="9"/>
      <c r="AM52" s="9"/>
      <c r="AN52" s="9"/>
      <c r="AO52" s="9"/>
      <c r="AP52" s="9"/>
    </row>
    <row r="53" spans="1:42" x14ac:dyDescent="0.25">
      <c r="A53" s="148" t="s">
        <v>105</v>
      </c>
      <c r="B53" s="148" t="s">
        <v>110</v>
      </c>
      <c r="C53" s="148" t="s">
        <v>183</v>
      </c>
      <c r="D53" s="148" t="s">
        <v>123</v>
      </c>
      <c r="E53" s="148" t="s">
        <v>95</v>
      </c>
      <c r="F53" s="148" t="s">
        <v>105</v>
      </c>
      <c r="G53" s="148" t="s">
        <v>184</v>
      </c>
      <c r="H53" s="148" t="s">
        <v>180</v>
      </c>
      <c r="I53" s="148">
        <v>-239469</v>
      </c>
      <c r="J53" s="148"/>
      <c r="K53" s="148"/>
      <c r="L53" s="148"/>
      <c r="M53" s="148"/>
      <c r="N53" s="148"/>
      <c r="O53" s="148"/>
      <c r="P53" s="148">
        <v>-239469</v>
      </c>
      <c r="Q53" s="148"/>
      <c r="R53" s="148"/>
      <c r="S53" s="148"/>
      <c r="T53" s="148"/>
      <c r="U53" s="133"/>
      <c r="V53" s="133"/>
      <c r="W53" s="133"/>
      <c r="X53" s="133"/>
      <c r="Y53" s="133"/>
      <c r="Z53" s="73"/>
      <c r="AA53" s="73"/>
      <c r="AB53" s="73"/>
      <c r="AC53" s="73"/>
      <c r="AH53" s="9"/>
      <c r="AI53" s="9"/>
      <c r="AJ53" s="9"/>
      <c r="AK53" s="9"/>
      <c r="AL53" s="9"/>
      <c r="AM53" s="9"/>
      <c r="AN53" s="9"/>
      <c r="AO53" s="9"/>
      <c r="AP53" s="9"/>
    </row>
    <row r="54" spans="1:42" x14ac:dyDescent="0.25">
      <c r="A54" s="148" t="s">
        <v>97</v>
      </c>
      <c r="B54" s="148" t="s">
        <v>93</v>
      </c>
      <c r="C54" s="148" t="s">
        <v>222</v>
      </c>
      <c r="D54" s="148" t="s">
        <v>123</v>
      </c>
      <c r="E54" s="148" t="s">
        <v>95</v>
      </c>
      <c r="F54" s="148" t="s">
        <v>223</v>
      </c>
      <c r="G54" s="148" t="s">
        <v>224</v>
      </c>
      <c r="H54" s="148" t="s">
        <v>225</v>
      </c>
      <c r="I54" s="148">
        <v>-315000</v>
      </c>
      <c r="J54" s="148"/>
      <c r="K54" s="148"/>
      <c r="L54" s="148"/>
      <c r="M54" s="148"/>
      <c r="N54" s="148">
        <v>-315000</v>
      </c>
      <c r="O54" s="148"/>
      <c r="P54" s="148"/>
      <c r="Q54" s="148"/>
      <c r="R54" s="148"/>
      <c r="S54" s="148"/>
      <c r="T54" s="148"/>
      <c r="U54" s="133"/>
      <c r="V54" s="133"/>
      <c r="W54" s="133"/>
      <c r="X54" s="133"/>
      <c r="Y54" s="133"/>
      <c r="Z54" s="73"/>
      <c r="AA54" s="73"/>
      <c r="AB54" s="73"/>
      <c r="AC54" s="73"/>
      <c r="AH54" s="9"/>
      <c r="AI54" s="9"/>
      <c r="AJ54" s="9"/>
      <c r="AK54" s="9"/>
      <c r="AL54" s="9"/>
      <c r="AM54" s="9"/>
      <c r="AN54" s="9"/>
      <c r="AO54" s="9"/>
      <c r="AP54" s="9"/>
    </row>
    <row r="55" spans="1:42" x14ac:dyDescent="0.25">
      <c r="A55" s="149" t="s">
        <v>97</v>
      </c>
      <c r="B55" s="149" t="s">
        <v>93</v>
      </c>
      <c r="C55" s="149" t="s">
        <v>214</v>
      </c>
      <c r="D55" s="149" t="s">
        <v>123</v>
      </c>
      <c r="E55" s="149" t="s">
        <v>98</v>
      </c>
      <c r="F55" s="149" t="s">
        <v>215</v>
      </c>
      <c r="G55" s="149" t="s">
        <v>216</v>
      </c>
      <c r="H55" s="149" t="s">
        <v>217</v>
      </c>
      <c r="I55" s="149">
        <v>-375000</v>
      </c>
      <c r="J55" s="149"/>
      <c r="K55" s="149"/>
      <c r="L55" s="149"/>
      <c r="M55" s="149"/>
      <c r="N55" s="149">
        <v>-375000</v>
      </c>
      <c r="O55" s="149"/>
      <c r="P55" s="149"/>
      <c r="Q55" s="149"/>
      <c r="R55" s="149"/>
      <c r="S55" s="149"/>
      <c r="T55" s="149"/>
      <c r="U55" s="133"/>
      <c r="V55" s="133"/>
      <c r="W55" s="133"/>
      <c r="X55" s="133"/>
      <c r="Y55" s="133"/>
      <c r="Z55" s="73"/>
      <c r="AA55" s="73"/>
      <c r="AB55" s="73"/>
      <c r="AC55" s="73"/>
      <c r="AH55" s="9"/>
      <c r="AI55" s="9"/>
      <c r="AJ55" s="9"/>
      <c r="AK55" s="9"/>
      <c r="AL55" s="9"/>
      <c r="AM55" s="9"/>
      <c r="AN55" s="9"/>
      <c r="AO55" s="9"/>
      <c r="AP55" s="9"/>
    </row>
    <row r="56" spans="1:42" x14ac:dyDescent="0.25">
      <c r="A56" s="149" t="s">
        <v>97</v>
      </c>
      <c r="B56" s="149" t="s">
        <v>94</v>
      </c>
      <c r="C56" s="149" t="s">
        <v>148</v>
      </c>
      <c r="D56" s="149" t="s">
        <v>115</v>
      </c>
      <c r="E56" s="149" t="s">
        <v>123</v>
      </c>
      <c r="F56" s="149" t="s">
        <v>97</v>
      </c>
      <c r="G56" s="149"/>
      <c r="H56" s="149" t="s">
        <v>150</v>
      </c>
      <c r="I56" s="149">
        <v>571500</v>
      </c>
      <c r="J56" s="149"/>
      <c r="K56" s="149"/>
      <c r="L56" s="149"/>
      <c r="M56" s="149"/>
      <c r="N56" s="149"/>
      <c r="O56" s="149">
        <v>571500</v>
      </c>
      <c r="P56" s="149"/>
      <c r="Q56" s="149"/>
      <c r="R56" s="149"/>
      <c r="S56" s="149"/>
      <c r="T56" s="149"/>
      <c r="U56" s="133"/>
      <c r="V56" s="133"/>
      <c r="W56" s="133"/>
      <c r="X56" s="133"/>
      <c r="Y56" s="133"/>
      <c r="Z56" s="73"/>
      <c r="AA56" s="73"/>
      <c r="AB56" s="73"/>
      <c r="AC56" s="73"/>
      <c r="AH56" s="9"/>
      <c r="AI56" s="9"/>
      <c r="AJ56" s="9"/>
      <c r="AK56" s="9"/>
      <c r="AL56" s="9"/>
      <c r="AM56" s="9"/>
      <c r="AN56" s="9"/>
      <c r="AO56" s="9"/>
      <c r="AP56" s="9"/>
    </row>
    <row r="57" spans="1:42" x14ac:dyDescent="0.25">
      <c r="A57" s="149" t="s">
        <v>97</v>
      </c>
      <c r="B57" s="149" t="s">
        <v>94</v>
      </c>
      <c r="C57" s="149" t="s">
        <v>157</v>
      </c>
      <c r="D57" s="149" t="s">
        <v>158</v>
      </c>
      <c r="E57" s="149" t="s">
        <v>123</v>
      </c>
      <c r="F57" s="149" t="s">
        <v>97</v>
      </c>
      <c r="G57" s="149"/>
      <c r="H57" s="149" t="s">
        <v>185</v>
      </c>
      <c r="I57" s="149">
        <v>185000</v>
      </c>
      <c r="J57" s="149"/>
      <c r="K57" s="149"/>
      <c r="L57" s="149"/>
      <c r="M57" s="149"/>
      <c r="N57" s="149"/>
      <c r="O57" s="149">
        <v>185000</v>
      </c>
      <c r="P57" s="149"/>
      <c r="Q57" s="149"/>
      <c r="R57" s="149"/>
      <c r="S57" s="149"/>
      <c r="T57" s="149"/>
      <c r="U57" s="133"/>
      <c r="V57" s="133"/>
      <c r="W57" s="133"/>
      <c r="X57" s="133"/>
      <c r="Y57" s="133"/>
      <c r="Z57" s="73"/>
      <c r="AA57" s="73"/>
      <c r="AB57" s="73"/>
      <c r="AC57" s="73"/>
      <c r="AH57" s="9"/>
      <c r="AI57" s="9"/>
      <c r="AJ57" s="9"/>
      <c r="AK57" s="9"/>
      <c r="AL57" s="9"/>
      <c r="AM57" s="9"/>
      <c r="AN57" s="9"/>
      <c r="AO57" s="9"/>
      <c r="AP57" s="9"/>
    </row>
    <row r="58" spans="1:42" x14ac:dyDescent="0.25">
      <c r="A58" s="149" t="s">
        <v>97</v>
      </c>
      <c r="B58" s="149" t="s">
        <v>94</v>
      </c>
      <c r="C58" s="149" t="s">
        <v>205</v>
      </c>
      <c r="D58" s="149" t="s">
        <v>95</v>
      </c>
      <c r="E58" s="149" t="s">
        <v>123</v>
      </c>
      <c r="F58" s="149" t="s">
        <v>97</v>
      </c>
      <c r="G58" s="149" t="s">
        <v>206</v>
      </c>
      <c r="H58" s="149" t="s">
        <v>207</v>
      </c>
      <c r="I58" s="149">
        <v>1168591</v>
      </c>
      <c r="J58" s="149"/>
      <c r="K58" s="149"/>
      <c r="L58" s="149"/>
      <c r="M58" s="149"/>
      <c r="N58" s="149">
        <v>1168591</v>
      </c>
      <c r="O58" s="149"/>
      <c r="P58" s="149"/>
      <c r="Q58" s="149"/>
      <c r="R58" s="149"/>
      <c r="S58" s="149"/>
      <c r="T58" s="149"/>
      <c r="U58" s="133"/>
      <c r="V58" s="133"/>
      <c r="W58" s="133"/>
      <c r="X58" s="133"/>
      <c r="Y58" s="133"/>
      <c r="Z58" s="73"/>
      <c r="AA58" s="73"/>
      <c r="AB58" s="73"/>
      <c r="AC58" s="73"/>
      <c r="AH58" s="9"/>
      <c r="AI58" s="9"/>
      <c r="AJ58" s="9"/>
      <c r="AK58" s="9"/>
      <c r="AL58" s="9"/>
      <c r="AM58" s="9"/>
      <c r="AN58" s="9"/>
      <c r="AO58" s="9"/>
      <c r="AP58" s="9"/>
    </row>
    <row r="59" spans="1:42" x14ac:dyDescent="0.25">
      <c r="A59" s="150" t="s">
        <v>97</v>
      </c>
      <c r="B59" s="150" t="s">
        <v>94</v>
      </c>
      <c r="C59" s="150" t="s">
        <v>208</v>
      </c>
      <c r="D59" s="150" t="s">
        <v>95</v>
      </c>
      <c r="E59" s="150" t="s">
        <v>123</v>
      </c>
      <c r="F59" s="150" t="s">
        <v>97</v>
      </c>
      <c r="G59" s="150" t="s">
        <v>206</v>
      </c>
      <c r="H59" s="150" t="s">
        <v>207</v>
      </c>
      <c r="I59" s="150">
        <v>186713.57</v>
      </c>
      <c r="J59" s="150"/>
      <c r="K59" s="150"/>
      <c r="L59" s="150"/>
      <c r="M59" s="150"/>
      <c r="N59" s="150">
        <v>186713.57</v>
      </c>
      <c r="O59" s="150"/>
      <c r="P59" s="150"/>
      <c r="Q59" s="150"/>
      <c r="R59" s="150"/>
      <c r="S59" s="150"/>
      <c r="T59" s="150"/>
      <c r="U59" s="133"/>
      <c r="V59" s="133"/>
      <c r="W59" s="133"/>
      <c r="X59" s="133"/>
      <c r="Y59" s="133"/>
      <c r="Z59" s="73"/>
      <c r="AA59" s="73"/>
      <c r="AB59" s="73"/>
      <c r="AC59" s="73"/>
      <c r="AH59" s="9"/>
      <c r="AI59" s="9"/>
      <c r="AJ59" s="9"/>
      <c r="AK59" s="9"/>
      <c r="AL59" s="9"/>
      <c r="AM59" s="9"/>
      <c r="AN59" s="9"/>
      <c r="AO59" s="9"/>
      <c r="AP59" s="9"/>
    </row>
    <row r="60" spans="1:42" x14ac:dyDescent="0.25">
      <c r="A60" s="150" t="s">
        <v>97</v>
      </c>
      <c r="B60" s="150" t="s">
        <v>94</v>
      </c>
      <c r="C60" s="150" t="s">
        <v>169</v>
      </c>
      <c r="D60" s="150" t="s">
        <v>152</v>
      </c>
      <c r="E60" s="150" t="s">
        <v>123</v>
      </c>
      <c r="F60" s="150" t="s">
        <v>97</v>
      </c>
      <c r="G60" s="150" t="s">
        <v>170</v>
      </c>
      <c r="H60" s="150" t="s">
        <v>171</v>
      </c>
      <c r="I60" s="150">
        <v>650000</v>
      </c>
      <c r="J60" s="150"/>
      <c r="K60" s="150"/>
      <c r="L60" s="150"/>
      <c r="M60" s="150"/>
      <c r="N60" s="150">
        <v>650000</v>
      </c>
      <c r="O60" s="150"/>
      <c r="P60" s="150"/>
      <c r="Q60" s="150"/>
      <c r="R60" s="150"/>
      <c r="S60" s="150"/>
      <c r="T60" s="150"/>
      <c r="U60" s="133"/>
      <c r="V60" s="133"/>
      <c r="W60" s="133"/>
      <c r="X60" s="133"/>
      <c r="Y60" s="133"/>
      <c r="Z60" s="73"/>
      <c r="AA60" s="73"/>
      <c r="AB60" s="73"/>
      <c r="AC60" s="73"/>
      <c r="AH60" s="9"/>
      <c r="AI60" s="9"/>
      <c r="AJ60" s="9"/>
      <c r="AK60" s="9"/>
      <c r="AL60" s="9"/>
      <c r="AM60" s="9"/>
      <c r="AN60" s="9"/>
      <c r="AO60" s="9"/>
      <c r="AP60" s="9"/>
    </row>
    <row r="61" spans="1:42" x14ac:dyDescent="0.25">
      <c r="A61" s="151" t="s">
        <v>215</v>
      </c>
      <c r="B61" s="151" t="s">
        <v>94</v>
      </c>
      <c r="C61" s="151" t="s">
        <v>214</v>
      </c>
      <c r="D61" s="151" t="s">
        <v>98</v>
      </c>
      <c r="E61" s="151" t="s">
        <v>123</v>
      </c>
      <c r="F61" s="151" t="s">
        <v>215</v>
      </c>
      <c r="G61" s="151" t="s">
        <v>216</v>
      </c>
      <c r="H61" s="151" t="s">
        <v>217</v>
      </c>
      <c r="I61" s="151">
        <v>375000</v>
      </c>
      <c r="J61" s="151"/>
      <c r="K61" s="151"/>
      <c r="L61" s="151"/>
      <c r="M61" s="151"/>
      <c r="N61" s="151">
        <v>375000</v>
      </c>
      <c r="O61" s="151"/>
      <c r="P61" s="151"/>
      <c r="Q61" s="151"/>
      <c r="R61" s="151"/>
      <c r="S61" s="151"/>
      <c r="T61" s="151"/>
      <c r="U61" s="133"/>
      <c r="V61" s="133"/>
      <c r="W61" s="133"/>
      <c r="X61" s="133"/>
      <c r="Y61" s="133"/>
      <c r="Z61" s="73"/>
      <c r="AA61" s="73"/>
      <c r="AB61" s="73"/>
      <c r="AC61" s="73"/>
      <c r="AH61" s="9"/>
      <c r="AI61" s="9"/>
      <c r="AJ61" s="9"/>
      <c r="AK61" s="9"/>
      <c r="AL61" s="9"/>
      <c r="AM61" s="9"/>
      <c r="AN61" s="9"/>
      <c r="AO61" s="9"/>
      <c r="AP61" s="9"/>
    </row>
    <row r="62" spans="1:42" x14ac:dyDescent="0.25">
      <c r="A62" s="151" t="s">
        <v>223</v>
      </c>
      <c r="B62" s="151" t="s">
        <v>94</v>
      </c>
      <c r="C62" s="151" t="s">
        <v>222</v>
      </c>
      <c r="D62" s="151" t="s">
        <v>95</v>
      </c>
      <c r="E62" s="151" t="s">
        <v>123</v>
      </c>
      <c r="F62" s="151" t="s">
        <v>223</v>
      </c>
      <c r="G62" s="151" t="s">
        <v>224</v>
      </c>
      <c r="H62" s="151" t="s">
        <v>225</v>
      </c>
      <c r="I62" s="151">
        <v>315000</v>
      </c>
      <c r="J62" s="151"/>
      <c r="K62" s="151"/>
      <c r="L62" s="151"/>
      <c r="M62" s="151"/>
      <c r="N62" s="151">
        <v>315000</v>
      </c>
      <c r="O62" s="151"/>
      <c r="P62" s="151"/>
      <c r="Q62" s="151"/>
      <c r="R62" s="151"/>
      <c r="S62" s="151"/>
      <c r="T62" s="151"/>
      <c r="U62" s="133"/>
      <c r="V62" s="133"/>
      <c r="W62" s="133"/>
      <c r="X62" s="133"/>
      <c r="Y62" s="133"/>
      <c r="Z62" s="73"/>
      <c r="AA62" s="73"/>
      <c r="AB62" s="73"/>
      <c r="AC62" s="73"/>
      <c r="AH62" s="9"/>
      <c r="AI62" s="9"/>
      <c r="AJ62" s="9"/>
      <c r="AK62" s="9"/>
      <c r="AL62" s="9"/>
      <c r="AM62" s="9"/>
      <c r="AN62" s="9"/>
      <c r="AO62" s="9"/>
      <c r="AP62" s="9"/>
    </row>
    <row r="63" spans="1:42" ht="15.75" x14ac:dyDescent="0.25">
      <c r="A63" s="170" t="s">
        <v>79</v>
      </c>
      <c r="B63" s="170"/>
      <c r="C63" s="170"/>
      <c r="D63" s="170"/>
      <c r="E63" s="170"/>
      <c r="F63" s="170"/>
      <c r="G63" s="170"/>
      <c r="AI63" s="73"/>
      <c r="AJ63" s="73"/>
      <c r="AK63" s="73"/>
      <c r="AL63" s="73"/>
    </row>
    <row r="65" spans="1:42" x14ac:dyDescent="0.25">
      <c r="A65" s="73" t="s">
        <v>42</v>
      </c>
      <c r="B65" s="73" t="s">
        <v>43</v>
      </c>
      <c r="C65" s="73" t="s">
        <v>13</v>
      </c>
      <c r="D65" s="73" t="s">
        <v>87</v>
      </c>
      <c r="E65" s="73" t="s">
        <v>88</v>
      </c>
      <c r="F65" s="73" t="s">
        <v>44</v>
      </c>
      <c r="G65" s="73" t="s">
        <v>89</v>
      </c>
      <c r="H65" s="73" t="s">
        <v>90</v>
      </c>
      <c r="I65" s="73" t="s">
        <v>10</v>
      </c>
      <c r="J65" s="73" t="s">
        <v>197</v>
      </c>
      <c r="K65" s="73" t="s">
        <v>4</v>
      </c>
      <c r="L65" s="73" t="s">
        <v>191</v>
      </c>
      <c r="M65" s="73" t="s">
        <v>5</v>
      </c>
      <c r="N65" s="73" t="s">
        <v>106</v>
      </c>
      <c r="O65" s="73" t="s">
        <v>111</v>
      </c>
      <c r="P65" s="73" t="s">
        <v>192</v>
      </c>
      <c r="Q65" s="73" t="s">
        <v>193</v>
      </c>
      <c r="R65" s="73" t="s">
        <v>194</v>
      </c>
      <c r="S65" s="31" t="s">
        <v>195</v>
      </c>
      <c r="T65" s="73"/>
      <c r="U65" s="73"/>
      <c r="V65" s="73"/>
      <c r="AE65" s="9"/>
      <c r="AF65" s="9"/>
      <c r="AG65" s="9"/>
      <c r="AH65" s="9"/>
      <c r="AI65" s="9"/>
      <c r="AJ65" s="9"/>
      <c r="AK65" s="9"/>
      <c r="AL65" s="9"/>
      <c r="AM65" s="9"/>
      <c r="AN65" s="9"/>
      <c r="AO65" s="9"/>
      <c r="AP65" s="9"/>
    </row>
    <row r="66" spans="1:42" x14ac:dyDescent="0.25">
      <c r="A66" s="31" t="s">
        <v>130</v>
      </c>
      <c r="B66" s="31" t="s">
        <v>93</v>
      </c>
      <c r="C66" s="31" t="s">
        <v>131</v>
      </c>
      <c r="D66" s="31" t="s">
        <v>123</v>
      </c>
      <c r="E66" s="31" t="s">
        <v>95</v>
      </c>
      <c r="F66" s="31" t="s">
        <v>118</v>
      </c>
      <c r="G66" s="31" t="s">
        <v>132</v>
      </c>
      <c r="H66" s="31" t="s">
        <v>133</v>
      </c>
      <c r="I66" s="31">
        <v>-600000</v>
      </c>
      <c r="J66" s="31"/>
      <c r="K66" s="31">
        <v>-600000</v>
      </c>
      <c r="L66" s="73"/>
      <c r="M66" s="73"/>
      <c r="N66" s="132"/>
      <c r="O66" s="132"/>
      <c r="P66" s="132"/>
      <c r="Q66" s="132"/>
      <c r="R66" s="132"/>
      <c r="S66" s="31"/>
      <c r="T66" s="132"/>
      <c r="U66" s="120"/>
      <c r="V66" s="73"/>
      <c r="AE66" s="9"/>
      <c r="AF66" s="9"/>
      <c r="AG66" s="9"/>
      <c r="AH66" s="9"/>
      <c r="AI66" s="9"/>
      <c r="AJ66" s="9"/>
      <c r="AK66" s="9"/>
      <c r="AL66" s="9"/>
      <c r="AM66" s="9"/>
      <c r="AN66" s="9"/>
      <c r="AO66" s="9"/>
      <c r="AP66" s="9"/>
    </row>
    <row r="67" spans="1:42" x14ac:dyDescent="0.25">
      <c r="A67" s="73" t="s">
        <v>134</v>
      </c>
      <c r="B67" s="73" t="s">
        <v>93</v>
      </c>
      <c r="C67" s="73" t="s">
        <v>135</v>
      </c>
      <c r="D67" s="73" t="s">
        <v>123</v>
      </c>
      <c r="E67" s="73" t="s">
        <v>121</v>
      </c>
      <c r="F67" s="73" t="s">
        <v>100</v>
      </c>
      <c r="G67" s="73"/>
      <c r="H67" s="73" t="s">
        <v>136</v>
      </c>
      <c r="I67" s="73">
        <v>-1515000</v>
      </c>
      <c r="J67" s="73"/>
      <c r="K67" s="73"/>
      <c r="L67" s="73"/>
      <c r="M67" s="73"/>
      <c r="N67" s="132"/>
      <c r="O67" s="132"/>
      <c r="P67" s="132">
        <v>-1515000</v>
      </c>
      <c r="Q67" s="132"/>
      <c r="R67" s="132"/>
      <c r="S67" s="31"/>
      <c r="T67" s="132"/>
      <c r="U67" s="120"/>
      <c r="V67" s="73"/>
      <c r="AE67" s="9"/>
      <c r="AF67" s="9"/>
      <c r="AG67" s="9"/>
      <c r="AH67" s="9"/>
      <c r="AI67" s="9"/>
      <c r="AJ67" s="9"/>
      <c r="AK67" s="9"/>
      <c r="AL67" s="9"/>
      <c r="AM67" s="9"/>
      <c r="AN67" s="9"/>
      <c r="AO67" s="9"/>
      <c r="AP67" s="9"/>
    </row>
    <row r="68" spans="1:42" x14ac:dyDescent="0.25">
      <c r="A68" s="73" t="s">
        <v>134</v>
      </c>
      <c r="B68" s="73" t="s">
        <v>93</v>
      </c>
      <c r="C68" s="73" t="s">
        <v>137</v>
      </c>
      <c r="D68" s="73" t="s">
        <v>123</v>
      </c>
      <c r="E68" s="73" t="s">
        <v>95</v>
      </c>
      <c r="F68" s="73" t="s">
        <v>96</v>
      </c>
      <c r="G68" s="73"/>
      <c r="H68" s="73" t="s">
        <v>138</v>
      </c>
      <c r="I68" s="73">
        <v>-7367764</v>
      </c>
      <c r="J68" s="73"/>
      <c r="K68" s="73"/>
      <c r="L68" s="73"/>
      <c r="M68" s="73"/>
      <c r="N68" s="132"/>
      <c r="O68" s="132"/>
      <c r="P68" s="132">
        <v>-7367764</v>
      </c>
      <c r="Q68" s="132"/>
      <c r="R68" s="132"/>
      <c r="S68" s="31"/>
      <c r="T68" s="132"/>
      <c r="U68" s="120"/>
      <c r="V68" s="73"/>
      <c r="AE68" s="9"/>
      <c r="AF68" s="9"/>
      <c r="AG68" s="9"/>
      <c r="AH68" s="9"/>
      <c r="AI68" s="9"/>
      <c r="AJ68" s="9"/>
      <c r="AK68" s="9"/>
      <c r="AL68" s="9"/>
      <c r="AM68" s="9"/>
      <c r="AN68" s="9"/>
      <c r="AO68" s="9"/>
      <c r="AP68" s="9"/>
    </row>
    <row r="69" spans="1:42" x14ac:dyDescent="0.25">
      <c r="A69" s="73" t="s">
        <v>118</v>
      </c>
      <c r="B69" s="73" t="s">
        <v>93</v>
      </c>
      <c r="C69" s="73" t="s">
        <v>139</v>
      </c>
      <c r="D69" s="73" t="s">
        <v>123</v>
      </c>
      <c r="E69" s="73" t="s">
        <v>95</v>
      </c>
      <c r="F69" s="73" t="s">
        <v>100</v>
      </c>
      <c r="G69" s="73"/>
      <c r="H69" s="73" t="s">
        <v>140</v>
      </c>
      <c r="I69" s="73">
        <v>-1283015</v>
      </c>
      <c r="J69" s="73"/>
      <c r="K69" s="73"/>
      <c r="L69" s="73"/>
      <c r="M69" s="73"/>
      <c r="N69" s="132"/>
      <c r="O69" s="132"/>
      <c r="P69" s="132">
        <v>-1283015</v>
      </c>
      <c r="Q69" s="132"/>
      <c r="R69" s="132"/>
      <c r="S69" s="31"/>
      <c r="T69" s="132"/>
      <c r="U69" s="120"/>
      <c r="V69" s="73"/>
      <c r="W69" s="9"/>
      <c r="X69" s="9"/>
      <c r="Y69" s="9"/>
      <c r="Z69" s="9"/>
      <c r="AA69" s="9"/>
      <c r="AB69" s="9"/>
      <c r="AC69" s="9"/>
      <c r="AD69" s="9"/>
      <c r="AE69" s="9"/>
      <c r="AF69" s="9"/>
      <c r="AG69" s="9"/>
      <c r="AH69" s="9"/>
      <c r="AI69" s="9"/>
      <c r="AJ69" s="9"/>
      <c r="AK69" s="9"/>
      <c r="AL69" s="9"/>
      <c r="AM69" s="9"/>
      <c r="AN69" s="9"/>
      <c r="AO69" s="9"/>
      <c r="AP69" s="9"/>
    </row>
    <row r="70" spans="1:42" x14ac:dyDescent="0.25">
      <c r="A70" s="73" t="s">
        <v>118</v>
      </c>
      <c r="B70" s="73" t="s">
        <v>93</v>
      </c>
      <c r="C70" s="73" t="s">
        <v>141</v>
      </c>
      <c r="D70" s="73" t="s">
        <v>123</v>
      </c>
      <c r="E70" s="73" t="s">
        <v>98</v>
      </c>
      <c r="F70" s="73" t="s">
        <v>96</v>
      </c>
      <c r="G70" s="73"/>
      <c r="H70" s="73" t="s">
        <v>142</v>
      </c>
      <c r="I70" s="73">
        <v>-174000</v>
      </c>
      <c r="J70" s="73"/>
      <c r="K70" s="73"/>
      <c r="L70" s="73"/>
      <c r="M70" s="73"/>
      <c r="N70" s="132"/>
      <c r="O70" s="132"/>
      <c r="P70" s="132">
        <v>-174000</v>
      </c>
      <c r="Q70" s="132"/>
      <c r="R70" s="132"/>
      <c r="S70" s="31"/>
      <c r="T70" s="132"/>
      <c r="U70" s="120"/>
      <c r="V70" s="73"/>
      <c r="W70" s="9"/>
      <c r="X70" s="9"/>
      <c r="Y70" s="9"/>
      <c r="Z70" s="9"/>
      <c r="AA70" s="9"/>
      <c r="AB70" s="9"/>
      <c r="AC70" s="9"/>
      <c r="AD70" s="9"/>
      <c r="AE70" s="9"/>
      <c r="AF70" s="9"/>
      <c r="AG70" s="9"/>
      <c r="AH70" s="9"/>
      <c r="AI70" s="9"/>
      <c r="AJ70" s="9"/>
      <c r="AK70" s="9"/>
      <c r="AL70" s="9"/>
      <c r="AM70" s="9"/>
      <c r="AN70" s="9"/>
      <c r="AO70" s="9"/>
      <c r="AP70" s="9"/>
    </row>
    <row r="71" spans="1:42" x14ac:dyDescent="0.25">
      <c r="A71" s="73" t="s">
        <v>118</v>
      </c>
      <c r="B71" s="73" t="s">
        <v>94</v>
      </c>
      <c r="C71" s="73" t="s">
        <v>131</v>
      </c>
      <c r="D71" s="73" t="s">
        <v>95</v>
      </c>
      <c r="E71" s="73" t="s">
        <v>123</v>
      </c>
      <c r="F71" s="73"/>
      <c r="G71" s="73" t="s">
        <v>132</v>
      </c>
      <c r="H71" s="73" t="s">
        <v>143</v>
      </c>
      <c r="I71" s="73">
        <v>600000</v>
      </c>
      <c r="J71" s="73"/>
      <c r="K71" s="73">
        <v>600000</v>
      </c>
      <c r="L71" s="73"/>
      <c r="M71" s="73"/>
      <c r="N71" s="132"/>
      <c r="O71" s="132"/>
      <c r="P71" s="132"/>
      <c r="Q71" s="132"/>
      <c r="R71" s="132"/>
      <c r="S71" s="31"/>
      <c r="T71" s="132"/>
      <c r="U71" s="120"/>
      <c r="V71" s="73"/>
      <c r="W71" s="9"/>
      <c r="X71" s="9"/>
      <c r="Y71" s="9"/>
      <c r="Z71" s="9"/>
      <c r="AA71" s="9"/>
      <c r="AB71" s="9"/>
      <c r="AC71" s="9"/>
      <c r="AD71" s="9"/>
      <c r="AE71" s="9"/>
      <c r="AF71" s="9"/>
      <c r="AG71" s="9"/>
      <c r="AH71" s="9"/>
      <c r="AI71" s="9"/>
      <c r="AJ71" s="9"/>
      <c r="AK71" s="9"/>
      <c r="AL71" s="9"/>
      <c r="AM71" s="9"/>
      <c r="AN71" s="9"/>
      <c r="AO71" s="9"/>
      <c r="AP71" s="9"/>
    </row>
    <row r="72" spans="1:42" x14ac:dyDescent="0.25">
      <c r="A72" s="91" t="s">
        <v>118</v>
      </c>
      <c r="B72" s="91" t="s">
        <v>114</v>
      </c>
      <c r="C72" s="91" t="s">
        <v>144</v>
      </c>
      <c r="D72" s="91" t="s">
        <v>95</v>
      </c>
      <c r="E72" s="91" t="s">
        <v>123</v>
      </c>
      <c r="F72" s="91" t="s">
        <v>118</v>
      </c>
      <c r="G72" s="91" t="s">
        <v>132</v>
      </c>
      <c r="H72" s="91" t="s">
        <v>145</v>
      </c>
      <c r="I72" s="91">
        <v>872494</v>
      </c>
      <c r="J72" s="91"/>
      <c r="K72" s="91">
        <v>872494</v>
      </c>
      <c r="L72" s="91"/>
      <c r="M72" s="91"/>
      <c r="N72" s="133"/>
      <c r="O72" s="133"/>
      <c r="P72" s="133"/>
      <c r="Q72" s="133"/>
      <c r="R72" s="133"/>
      <c r="T72" s="133"/>
      <c r="U72" s="121"/>
      <c r="V72" s="91"/>
      <c r="W72" s="9"/>
      <c r="X72" s="9"/>
      <c r="Y72" s="9"/>
      <c r="Z72" s="9"/>
      <c r="AA72" s="9"/>
      <c r="AB72" s="9"/>
      <c r="AC72" s="9"/>
      <c r="AD72" s="9"/>
      <c r="AE72" s="9"/>
      <c r="AF72" s="9"/>
      <c r="AG72" s="9"/>
      <c r="AH72" s="9"/>
      <c r="AI72" s="9"/>
      <c r="AJ72" s="9"/>
      <c r="AK72" s="9"/>
      <c r="AL72" s="9"/>
      <c r="AM72" s="9"/>
      <c r="AN72" s="9"/>
      <c r="AO72" s="9"/>
      <c r="AP72" s="9"/>
    </row>
    <row r="73" spans="1:42" x14ac:dyDescent="0.25">
      <c r="A73" s="106" t="s">
        <v>96</v>
      </c>
      <c r="B73" s="106" t="s">
        <v>102</v>
      </c>
      <c r="C73" s="106" t="s">
        <v>146</v>
      </c>
      <c r="D73" s="106" t="s">
        <v>123</v>
      </c>
      <c r="E73" s="106" t="s">
        <v>95</v>
      </c>
      <c r="F73" s="106" t="s">
        <v>103</v>
      </c>
      <c r="G73" s="106"/>
      <c r="H73" s="106" t="s">
        <v>147</v>
      </c>
      <c r="I73" s="106">
        <v>-0.69</v>
      </c>
      <c r="J73" s="106"/>
      <c r="K73" s="106">
        <v>0</v>
      </c>
      <c r="L73" s="106"/>
      <c r="M73" s="106">
        <v>0</v>
      </c>
      <c r="N73" s="133"/>
      <c r="O73" s="133"/>
      <c r="P73" s="133"/>
      <c r="Q73" s="133"/>
      <c r="R73" s="133"/>
      <c r="T73" s="133"/>
      <c r="U73" s="121"/>
      <c r="V73" s="106"/>
      <c r="W73" s="9"/>
      <c r="X73" s="9"/>
      <c r="Y73" s="9"/>
      <c r="Z73" s="9"/>
      <c r="AA73" s="9"/>
      <c r="AB73" s="9"/>
      <c r="AC73" s="9"/>
      <c r="AD73" s="9"/>
      <c r="AE73" s="9"/>
      <c r="AF73" s="9"/>
      <c r="AG73" s="9"/>
      <c r="AH73" s="9"/>
      <c r="AI73" s="9"/>
      <c r="AJ73" s="9"/>
      <c r="AK73" s="9"/>
      <c r="AL73" s="9"/>
      <c r="AM73" s="9"/>
      <c r="AN73" s="9"/>
      <c r="AO73" s="9"/>
      <c r="AP73" s="9"/>
    </row>
    <row r="74" spans="1:42" x14ac:dyDescent="0.25">
      <c r="A74" s="106" t="s">
        <v>96</v>
      </c>
      <c r="B74" s="106" t="s">
        <v>93</v>
      </c>
      <c r="C74" s="106" t="s">
        <v>148</v>
      </c>
      <c r="D74" s="106" t="s">
        <v>123</v>
      </c>
      <c r="E74" s="106" t="s">
        <v>115</v>
      </c>
      <c r="F74" s="106" t="s">
        <v>149</v>
      </c>
      <c r="G74" s="106"/>
      <c r="H74" s="106" t="s">
        <v>150</v>
      </c>
      <c r="I74" s="106">
        <v>-4252198</v>
      </c>
      <c r="J74" s="106"/>
      <c r="K74" s="106"/>
      <c r="L74" s="106"/>
      <c r="M74" s="106"/>
      <c r="N74" s="133"/>
      <c r="O74" s="133"/>
      <c r="P74" s="133">
        <v>-4252198</v>
      </c>
      <c r="Q74" s="133"/>
      <c r="R74" s="133"/>
      <c r="T74" s="133"/>
      <c r="U74" s="121"/>
      <c r="V74" s="106"/>
      <c r="W74" s="9"/>
      <c r="X74" s="9"/>
      <c r="Y74" s="9"/>
      <c r="Z74" s="9"/>
      <c r="AA74" s="9"/>
      <c r="AB74" s="9"/>
      <c r="AC74" s="9"/>
      <c r="AD74" s="9"/>
      <c r="AE74" s="9"/>
      <c r="AF74" s="9"/>
      <c r="AG74" s="9"/>
      <c r="AH74" s="9"/>
      <c r="AI74" s="9"/>
      <c r="AJ74" s="9"/>
      <c r="AK74" s="9"/>
      <c r="AL74" s="9"/>
      <c r="AM74" s="9"/>
      <c r="AN74" s="9"/>
      <c r="AO74" s="9"/>
      <c r="AP74" s="9"/>
    </row>
    <row r="75" spans="1:42" x14ac:dyDescent="0.25">
      <c r="A75" s="111" t="s">
        <v>96</v>
      </c>
      <c r="B75" s="111" t="s">
        <v>93</v>
      </c>
      <c r="C75" s="111" t="s">
        <v>151</v>
      </c>
      <c r="D75" s="111" t="s">
        <v>123</v>
      </c>
      <c r="E75" s="111" t="s">
        <v>152</v>
      </c>
      <c r="F75" s="111" t="s">
        <v>100</v>
      </c>
      <c r="G75" s="111"/>
      <c r="H75" s="111" t="s">
        <v>153</v>
      </c>
      <c r="I75" s="111">
        <v>-350000</v>
      </c>
      <c r="J75" s="111"/>
      <c r="K75" s="111">
        <v>-350000</v>
      </c>
      <c r="L75" s="111"/>
      <c r="M75" s="111"/>
      <c r="N75" s="133"/>
      <c r="O75" s="133"/>
      <c r="P75" s="133"/>
      <c r="Q75" s="133"/>
      <c r="R75" s="133"/>
      <c r="T75" s="133"/>
      <c r="U75" s="121"/>
      <c r="V75" s="111"/>
      <c r="W75" s="9"/>
      <c r="X75" s="9"/>
      <c r="Y75" s="9"/>
      <c r="Z75" s="9"/>
      <c r="AA75" s="9"/>
      <c r="AB75" s="9"/>
      <c r="AC75" s="9"/>
      <c r="AD75" s="9"/>
      <c r="AE75" s="9"/>
      <c r="AF75" s="9"/>
      <c r="AG75" s="9"/>
      <c r="AH75" s="9"/>
      <c r="AI75" s="9"/>
      <c r="AJ75" s="9"/>
      <c r="AK75" s="9"/>
      <c r="AL75" s="9"/>
      <c r="AM75" s="9"/>
      <c r="AN75" s="9"/>
      <c r="AO75" s="9"/>
      <c r="AP75" s="9"/>
    </row>
    <row r="76" spans="1:42" x14ac:dyDescent="0.25">
      <c r="A76" s="111" t="s">
        <v>96</v>
      </c>
      <c r="B76" s="111" t="s">
        <v>93</v>
      </c>
      <c r="C76" s="111" t="s">
        <v>154</v>
      </c>
      <c r="D76" s="111" t="s">
        <v>123</v>
      </c>
      <c r="E76" s="111" t="s">
        <v>95</v>
      </c>
      <c r="F76" s="111" t="s">
        <v>155</v>
      </c>
      <c r="G76" s="111"/>
      <c r="H76" s="111" t="s">
        <v>156</v>
      </c>
      <c r="I76" s="111">
        <v>-4927190</v>
      </c>
      <c r="J76" s="111"/>
      <c r="K76" s="111"/>
      <c r="L76" s="111"/>
      <c r="M76" s="111"/>
      <c r="N76" s="133"/>
      <c r="O76" s="133"/>
      <c r="P76" s="133">
        <v>-4927190</v>
      </c>
      <c r="Q76" s="133"/>
      <c r="R76" s="133"/>
      <c r="T76" s="133"/>
      <c r="U76" s="121"/>
      <c r="V76" s="111"/>
      <c r="W76" s="9"/>
      <c r="X76" s="9"/>
      <c r="Y76" s="9"/>
      <c r="Z76" s="9"/>
      <c r="AA76" s="9"/>
      <c r="AB76" s="9"/>
      <c r="AC76" s="9"/>
      <c r="AD76" s="9"/>
      <c r="AE76" s="9"/>
      <c r="AF76" s="9"/>
      <c r="AG76" s="9"/>
      <c r="AH76" s="9"/>
      <c r="AI76" s="9"/>
      <c r="AJ76" s="9"/>
      <c r="AK76" s="9"/>
      <c r="AL76" s="9"/>
      <c r="AM76" s="9"/>
      <c r="AN76" s="9"/>
      <c r="AO76" s="9"/>
      <c r="AP76" s="9"/>
    </row>
    <row r="77" spans="1:42" x14ac:dyDescent="0.25">
      <c r="A77" s="25" t="s">
        <v>96</v>
      </c>
      <c r="B77" s="25" t="s">
        <v>93</v>
      </c>
      <c r="C77" s="25" t="s">
        <v>157</v>
      </c>
      <c r="D77" s="25" t="s">
        <v>123</v>
      </c>
      <c r="E77" s="25" t="s">
        <v>158</v>
      </c>
      <c r="F77" s="25" t="s">
        <v>97</v>
      </c>
      <c r="H77" s="25" t="s">
        <v>159</v>
      </c>
      <c r="I77" s="25">
        <v>-185000</v>
      </c>
      <c r="N77" s="133"/>
      <c r="O77" s="133"/>
      <c r="P77" s="133">
        <v>-185000</v>
      </c>
      <c r="Q77" s="133"/>
      <c r="R77" s="133"/>
      <c r="T77" s="133"/>
      <c r="U77" s="121"/>
      <c r="AA77" s="9"/>
      <c r="AB77" s="9"/>
      <c r="AC77" s="9"/>
      <c r="AD77" s="9"/>
      <c r="AE77" s="9"/>
      <c r="AF77" s="9"/>
      <c r="AG77" s="9"/>
      <c r="AH77" s="9"/>
      <c r="AI77" s="9"/>
      <c r="AJ77" s="9"/>
      <c r="AK77" s="9"/>
      <c r="AL77" s="9"/>
      <c r="AM77" s="9"/>
      <c r="AN77" s="9"/>
      <c r="AO77" s="9"/>
      <c r="AP77" s="9"/>
    </row>
    <row r="78" spans="1:42" x14ac:dyDescent="0.25">
      <c r="A78" s="25" t="s">
        <v>96</v>
      </c>
      <c r="B78" s="25" t="s">
        <v>94</v>
      </c>
      <c r="C78" s="25" t="s">
        <v>141</v>
      </c>
      <c r="D78" s="25" t="s">
        <v>98</v>
      </c>
      <c r="E78" s="25" t="s">
        <v>123</v>
      </c>
      <c r="F78" s="25" t="s">
        <v>96</v>
      </c>
      <c r="H78" s="25" t="s">
        <v>160</v>
      </c>
      <c r="I78" s="25">
        <v>174000</v>
      </c>
      <c r="N78" s="133"/>
      <c r="O78" s="133"/>
      <c r="P78" s="133">
        <v>174000</v>
      </c>
      <c r="Q78" s="133"/>
      <c r="R78" s="133"/>
      <c r="T78" s="133"/>
      <c r="U78" s="121"/>
      <c r="AA78" s="9"/>
      <c r="AB78" s="9"/>
      <c r="AC78" s="9"/>
      <c r="AD78" s="9"/>
      <c r="AE78" s="9"/>
      <c r="AF78" s="9"/>
      <c r="AG78" s="9"/>
      <c r="AH78" s="9"/>
      <c r="AI78" s="9"/>
      <c r="AJ78" s="9"/>
      <c r="AK78" s="9"/>
      <c r="AL78" s="9"/>
      <c r="AM78" s="9"/>
      <c r="AN78" s="9"/>
      <c r="AO78" s="9"/>
      <c r="AP78" s="9"/>
    </row>
    <row r="79" spans="1:42" x14ac:dyDescent="0.25">
      <c r="A79" s="121" t="s">
        <v>96</v>
      </c>
      <c r="B79" s="121" t="s">
        <v>94</v>
      </c>
      <c r="C79" s="121" t="s">
        <v>137</v>
      </c>
      <c r="D79" s="121" t="s">
        <v>95</v>
      </c>
      <c r="E79" s="121" t="s">
        <v>123</v>
      </c>
      <c r="F79" s="121"/>
      <c r="G79" s="121"/>
      <c r="H79" s="121" t="s">
        <v>161</v>
      </c>
      <c r="I79" s="121">
        <v>7367764</v>
      </c>
      <c r="J79" s="121"/>
      <c r="K79" s="121"/>
      <c r="L79" s="121"/>
      <c r="M79" s="121"/>
      <c r="N79" s="133"/>
      <c r="O79" s="133"/>
      <c r="P79" s="133">
        <v>7367764</v>
      </c>
      <c r="Q79" s="133"/>
      <c r="R79" s="133"/>
      <c r="T79" s="133"/>
      <c r="U79" s="121"/>
      <c r="AA79" s="9"/>
      <c r="AB79" s="9"/>
      <c r="AC79" s="9"/>
      <c r="AD79" s="9"/>
      <c r="AE79" s="9"/>
      <c r="AF79" s="9"/>
      <c r="AG79" s="9"/>
      <c r="AH79" s="9"/>
      <c r="AI79" s="9"/>
      <c r="AJ79" s="9"/>
      <c r="AK79" s="9"/>
      <c r="AL79" s="9"/>
      <c r="AM79" s="9"/>
      <c r="AN79" s="9"/>
      <c r="AO79" s="9"/>
      <c r="AP79" s="9"/>
    </row>
    <row r="80" spans="1:42" x14ac:dyDescent="0.25">
      <c r="A80" s="121" t="s">
        <v>96</v>
      </c>
      <c r="B80" s="121" t="s">
        <v>110</v>
      </c>
      <c r="C80" s="121" t="s">
        <v>162</v>
      </c>
      <c r="D80" s="121" t="s">
        <v>123</v>
      </c>
      <c r="E80" s="121" t="s">
        <v>95</v>
      </c>
      <c r="F80" s="121"/>
      <c r="G80" s="121"/>
      <c r="H80" s="121" t="s">
        <v>163</v>
      </c>
      <c r="I80" s="121">
        <v>-456850</v>
      </c>
      <c r="J80" s="121"/>
      <c r="K80" s="121">
        <v>-456850</v>
      </c>
      <c r="L80" s="121"/>
      <c r="M80" s="121"/>
      <c r="N80" s="133"/>
      <c r="O80" s="133"/>
      <c r="P80" s="133"/>
      <c r="Q80" s="133"/>
      <c r="R80" s="133"/>
      <c r="T80" s="133"/>
      <c r="U80" s="73"/>
      <c r="V80" s="73"/>
      <c r="AA80" s="9"/>
      <c r="AB80" s="9"/>
      <c r="AC80" s="9"/>
      <c r="AD80" s="9"/>
      <c r="AE80" s="9"/>
      <c r="AF80" s="9"/>
      <c r="AG80" s="9"/>
      <c r="AH80" s="9"/>
      <c r="AI80" s="9"/>
      <c r="AJ80" s="9"/>
      <c r="AK80" s="9"/>
      <c r="AL80" s="9"/>
      <c r="AM80" s="9"/>
      <c r="AN80" s="9"/>
      <c r="AO80" s="9"/>
      <c r="AP80" s="9"/>
    </row>
    <row r="81" spans="1:42" x14ac:dyDescent="0.25">
      <c r="A81" s="121" t="s">
        <v>100</v>
      </c>
      <c r="B81" s="121" t="s">
        <v>93</v>
      </c>
      <c r="C81" s="121" t="s">
        <v>164</v>
      </c>
      <c r="D81" s="121" t="s">
        <v>123</v>
      </c>
      <c r="E81" s="121" t="s">
        <v>120</v>
      </c>
      <c r="F81" s="121" t="s">
        <v>99</v>
      </c>
      <c r="G81" s="121"/>
      <c r="H81" s="121" t="s">
        <v>165</v>
      </c>
      <c r="I81" s="121">
        <v>-280053</v>
      </c>
      <c r="J81" s="121"/>
      <c r="K81" s="121"/>
      <c r="L81" s="121"/>
      <c r="M81" s="121"/>
      <c r="N81" s="133"/>
      <c r="O81" s="133"/>
      <c r="P81" s="133">
        <v>-280053</v>
      </c>
      <c r="Q81" s="133"/>
      <c r="R81" s="133"/>
      <c r="T81" s="133"/>
      <c r="AA81" s="9"/>
      <c r="AB81" s="9"/>
      <c r="AC81" s="9"/>
      <c r="AD81" s="9"/>
      <c r="AE81" s="9"/>
      <c r="AF81" s="9"/>
      <c r="AG81" s="9"/>
      <c r="AH81" s="9"/>
      <c r="AI81" s="9"/>
      <c r="AJ81" s="9"/>
      <c r="AK81" s="9"/>
      <c r="AL81" s="9"/>
      <c r="AM81" s="9"/>
      <c r="AN81" s="9"/>
      <c r="AO81" s="9"/>
      <c r="AP81" s="9"/>
    </row>
    <row r="82" spans="1:42" x14ac:dyDescent="0.25">
      <c r="A82" s="121" t="s">
        <v>100</v>
      </c>
      <c r="B82" s="121" t="s">
        <v>94</v>
      </c>
      <c r="C82" s="121" t="s">
        <v>139</v>
      </c>
      <c r="D82" s="121" t="s">
        <v>95</v>
      </c>
      <c r="E82" s="121" t="s">
        <v>123</v>
      </c>
      <c r="F82" s="121"/>
      <c r="G82" s="121"/>
      <c r="H82" s="121" t="s">
        <v>166</v>
      </c>
      <c r="I82" s="121">
        <v>1283015</v>
      </c>
      <c r="J82" s="121"/>
      <c r="K82" s="121"/>
      <c r="L82" s="121"/>
      <c r="M82" s="121"/>
      <c r="N82" s="133"/>
      <c r="O82" s="133"/>
      <c r="P82" s="133">
        <v>1283015</v>
      </c>
      <c r="Q82" s="133"/>
      <c r="R82" s="133"/>
      <c r="T82" s="133"/>
      <c r="AA82" s="9"/>
      <c r="AB82" s="9"/>
      <c r="AC82" s="9"/>
      <c r="AD82" s="9"/>
      <c r="AE82" s="9"/>
      <c r="AF82" s="9"/>
      <c r="AG82" s="9"/>
      <c r="AH82" s="9"/>
      <c r="AI82" s="9"/>
      <c r="AJ82" s="9"/>
      <c r="AK82" s="9"/>
      <c r="AL82" s="9"/>
      <c r="AM82" s="9"/>
      <c r="AN82" s="9"/>
      <c r="AO82" s="9"/>
      <c r="AP82" s="9"/>
    </row>
    <row r="83" spans="1:42" x14ac:dyDescent="0.25">
      <c r="A83" s="121" t="s">
        <v>100</v>
      </c>
      <c r="B83" s="121" t="s">
        <v>94</v>
      </c>
      <c r="C83" s="121" t="s">
        <v>135</v>
      </c>
      <c r="D83" s="121" t="s">
        <v>121</v>
      </c>
      <c r="E83" s="121" t="s">
        <v>123</v>
      </c>
      <c r="F83" s="121"/>
      <c r="G83" s="121"/>
      <c r="H83" s="121" t="s">
        <v>167</v>
      </c>
      <c r="I83" s="121">
        <v>1515000</v>
      </c>
      <c r="J83" s="121"/>
      <c r="K83" s="121"/>
      <c r="L83" s="121"/>
      <c r="M83" s="121"/>
      <c r="N83" s="133"/>
      <c r="O83" s="133"/>
      <c r="P83" s="133">
        <v>1515000</v>
      </c>
      <c r="Q83" s="133"/>
      <c r="R83" s="133"/>
      <c r="T83" s="133"/>
      <c r="AA83" s="9"/>
      <c r="AB83" s="9"/>
      <c r="AC83" s="9"/>
      <c r="AD83" s="9"/>
      <c r="AE83" s="9"/>
      <c r="AF83" s="9"/>
      <c r="AG83" s="9"/>
      <c r="AH83" s="9"/>
      <c r="AI83" s="9"/>
      <c r="AJ83" s="9"/>
      <c r="AK83" s="9"/>
      <c r="AL83" s="9"/>
      <c r="AM83" s="9"/>
      <c r="AN83" s="9"/>
      <c r="AO83" s="9"/>
      <c r="AP83" s="9"/>
    </row>
    <row r="84" spans="1:42" x14ac:dyDescent="0.25">
      <c r="A84" s="121" t="s">
        <v>100</v>
      </c>
      <c r="B84" s="121" t="s">
        <v>94</v>
      </c>
      <c r="C84" s="121" t="s">
        <v>151</v>
      </c>
      <c r="D84" s="121" t="s">
        <v>152</v>
      </c>
      <c r="E84" s="121" t="s">
        <v>123</v>
      </c>
      <c r="F84" s="121" t="s">
        <v>100</v>
      </c>
      <c r="G84" s="121"/>
      <c r="H84" s="121" t="s">
        <v>168</v>
      </c>
      <c r="I84" s="121">
        <v>350000</v>
      </c>
      <c r="J84" s="121"/>
      <c r="K84" s="121">
        <v>350000</v>
      </c>
      <c r="L84" s="121"/>
      <c r="M84" s="121"/>
      <c r="N84" s="133"/>
      <c r="O84" s="133"/>
      <c r="P84" s="133"/>
      <c r="Q84" s="133"/>
      <c r="R84" s="133"/>
      <c r="T84" s="133"/>
      <c r="AA84" s="9"/>
      <c r="AB84" s="9"/>
      <c r="AC84" s="9"/>
      <c r="AD84" s="9"/>
      <c r="AE84" s="9"/>
      <c r="AF84" s="9"/>
      <c r="AG84" s="9"/>
      <c r="AH84" s="9"/>
      <c r="AI84" s="9"/>
      <c r="AJ84" s="9"/>
      <c r="AK84" s="9"/>
      <c r="AL84" s="9"/>
      <c r="AM84" s="9"/>
      <c r="AN84" s="9"/>
      <c r="AO84" s="9"/>
      <c r="AP84" s="9"/>
    </row>
    <row r="85" spans="1:42" x14ac:dyDescent="0.25">
      <c r="A85" s="121" t="s">
        <v>100</v>
      </c>
      <c r="B85" s="121" t="s">
        <v>94</v>
      </c>
      <c r="C85" s="121" t="s">
        <v>154</v>
      </c>
      <c r="D85" s="121" t="s">
        <v>95</v>
      </c>
      <c r="E85" s="121" t="s">
        <v>123</v>
      </c>
      <c r="F85" s="121"/>
      <c r="G85" s="121"/>
      <c r="H85" s="121" t="s">
        <v>156</v>
      </c>
      <c r="I85" s="121">
        <v>3286214</v>
      </c>
      <c r="J85" s="121"/>
      <c r="K85" s="121"/>
      <c r="L85" s="121"/>
      <c r="M85" s="121"/>
      <c r="N85" s="133"/>
      <c r="O85" s="133"/>
      <c r="P85" s="133">
        <v>3286214</v>
      </c>
      <c r="Q85" s="133"/>
      <c r="R85" s="133"/>
      <c r="T85" s="133"/>
      <c r="AA85" s="9"/>
      <c r="AB85" s="9"/>
      <c r="AC85" s="9"/>
      <c r="AD85" s="9"/>
      <c r="AE85" s="9"/>
      <c r="AF85" s="9"/>
      <c r="AG85" s="9"/>
      <c r="AH85" s="9"/>
      <c r="AI85" s="9"/>
      <c r="AJ85" s="9"/>
      <c r="AK85" s="9"/>
      <c r="AL85" s="9"/>
      <c r="AM85" s="9"/>
      <c r="AN85" s="9"/>
      <c r="AO85" s="9"/>
      <c r="AP85" s="9"/>
    </row>
    <row r="86" spans="1:42" x14ac:dyDescent="0.25">
      <c r="A86" s="121" t="s">
        <v>99</v>
      </c>
      <c r="B86" s="121" t="s">
        <v>94</v>
      </c>
      <c r="C86" s="121" t="s">
        <v>148</v>
      </c>
      <c r="D86" s="121" t="s">
        <v>115</v>
      </c>
      <c r="E86" s="121" t="s">
        <v>123</v>
      </c>
      <c r="F86" s="121" t="s">
        <v>99</v>
      </c>
      <c r="G86" s="121"/>
      <c r="H86" s="121" t="s">
        <v>150</v>
      </c>
      <c r="I86" s="121">
        <v>1200000</v>
      </c>
      <c r="J86" s="121"/>
      <c r="K86" s="121"/>
      <c r="L86" s="121"/>
      <c r="M86" s="121"/>
      <c r="N86" s="133"/>
      <c r="O86" s="133"/>
      <c r="P86" s="133">
        <v>1200000</v>
      </c>
      <c r="Q86" s="133"/>
      <c r="R86" s="133"/>
      <c r="T86" s="133"/>
      <c r="AA86" s="9"/>
      <c r="AB86" s="9"/>
      <c r="AC86" s="9"/>
      <c r="AD86" s="9"/>
      <c r="AE86" s="9"/>
      <c r="AF86" s="9"/>
      <c r="AG86" s="9"/>
      <c r="AH86" s="9"/>
      <c r="AI86" s="9"/>
      <c r="AJ86" s="9"/>
      <c r="AK86" s="9"/>
      <c r="AL86" s="9"/>
      <c r="AM86" s="9"/>
      <c r="AN86" s="9"/>
      <c r="AO86" s="9"/>
      <c r="AP86" s="9"/>
    </row>
    <row r="87" spans="1:42" x14ac:dyDescent="0.25">
      <c r="A87" s="121" t="s">
        <v>99</v>
      </c>
      <c r="B87" s="121" t="s">
        <v>94</v>
      </c>
      <c r="C87" s="121" t="s">
        <v>154</v>
      </c>
      <c r="D87" s="121" t="s">
        <v>95</v>
      </c>
      <c r="E87" s="121" t="s">
        <v>123</v>
      </c>
      <c r="F87" s="121"/>
      <c r="G87" s="121"/>
      <c r="H87" s="121" t="s">
        <v>156</v>
      </c>
      <c r="I87" s="121">
        <v>1437910</v>
      </c>
      <c r="J87" s="121"/>
      <c r="K87" s="121"/>
      <c r="L87" s="121"/>
      <c r="M87" s="121"/>
      <c r="N87" s="133"/>
      <c r="O87" s="133"/>
      <c r="P87" s="133">
        <v>1437910</v>
      </c>
      <c r="Q87" s="133"/>
      <c r="R87" s="133"/>
      <c r="T87" s="133"/>
      <c r="AA87" s="9"/>
      <c r="AB87" s="9"/>
      <c r="AC87" s="9"/>
      <c r="AD87" s="9"/>
      <c r="AE87" s="9"/>
      <c r="AF87" s="9"/>
      <c r="AG87" s="9"/>
      <c r="AH87" s="9"/>
      <c r="AI87" s="9"/>
      <c r="AJ87" s="9"/>
      <c r="AK87" s="9"/>
      <c r="AL87" s="9"/>
      <c r="AM87" s="9"/>
      <c r="AN87" s="9"/>
      <c r="AO87" s="9"/>
      <c r="AP87" s="9"/>
    </row>
    <row r="88" spans="1:42" x14ac:dyDescent="0.25">
      <c r="A88" s="121" t="s">
        <v>99</v>
      </c>
      <c r="B88" s="121" t="s">
        <v>94</v>
      </c>
      <c r="C88" s="121" t="s">
        <v>164</v>
      </c>
      <c r="D88" s="121" t="s">
        <v>120</v>
      </c>
      <c r="E88" s="121" t="s">
        <v>123</v>
      </c>
      <c r="F88" s="121" t="s">
        <v>99</v>
      </c>
      <c r="G88" s="121"/>
      <c r="H88" s="121" t="s">
        <v>165</v>
      </c>
      <c r="I88" s="121">
        <v>280053</v>
      </c>
      <c r="J88" s="121"/>
      <c r="K88" s="121"/>
      <c r="L88" s="121"/>
      <c r="M88" s="121"/>
      <c r="N88" s="133"/>
      <c r="O88" s="133"/>
      <c r="P88" s="133">
        <v>280053</v>
      </c>
      <c r="Q88" s="133"/>
      <c r="R88" s="133"/>
      <c r="T88" s="133"/>
      <c r="AA88" s="9"/>
      <c r="AB88" s="9"/>
      <c r="AC88" s="9"/>
      <c r="AD88" s="9"/>
      <c r="AE88" s="9"/>
      <c r="AF88" s="9"/>
      <c r="AG88" s="9"/>
      <c r="AH88" s="9"/>
      <c r="AI88" s="9"/>
      <c r="AJ88" s="9"/>
      <c r="AK88" s="9"/>
      <c r="AL88" s="9"/>
      <c r="AM88" s="9"/>
      <c r="AN88" s="9"/>
      <c r="AO88" s="9"/>
      <c r="AP88" s="9"/>
    </row>
    <row r="89" spans="1:42" x14ac:dyDescent="0.25">
      <c r="A89" s="121" t="s">
        <v>104</v>
      </c>
      <c r="B89" s="121" t="s">
        <v>93</v>
      </c>
      <c r="C89" s="121" t="s">
        <v>122</v>
      </c>
      <c r="D89" s="121" t="s">
        <v>123</v>
      </c>
      <c r="E89" s="121" t="s">
        <v>119</v>
      </c>
      <c r="F89" s="121" t="s">
        <v>105</v>
      </c>
      <c r="G89" s="121" t="s">
        <v>124</v>
      </c>
      <c r="H89" s="121" t="s">
        <v>125</v>
      </c>
      <c r="I89" s="121">
        <v>-643000</v>
      </c>
      <c r="J89" s="121"/>
      <c r="K89" s="121"/>
      <c r="L89" s="121"/>
      <c r="M89" s="121"/>
      <c r="N89" s="133"/>
      <c r="O89" s="133">
        <v>-643000</v>
      </c>
      <c r="P89" s="133"/>
      <c r="Q89" s="133"/>
      <c r="R89" s="133"/>
      <c r="T89" s="133"/>
      <c r="AE89" s="9"/>
      <c r="AF89" s="9"/>
      <c r="AG89" s="9"/>
      <c r="AH89" s="9"/>
      <c r="AI89" s="9"/>
      <c r="AJ89" s="9"/>
      <c r="AK89" s="9"/>
      <c r="AL89" s="9"/>
      <c r="AM89" s="9"/>
      <c r="AN89" s="9"/>
      <c r="AO89" s="9"/>
      <c r="AP89" s="9"/>
    </row>
    <row r="90" spans="1:42" x14ac:dyDescent="0.25">
      <c r="A90" s="130" t="s">
        <v>104</v>
      </c>
      <c r="B90" s="130" t="s">
        <v>93</v>
      </c>
      <c r="C90" s="130" t="s">
        <v>169</v>
      </c>
      <c r="D90" s="130" t="s">
        <v>123</v>
      </c>
      <c r="E90" s="130" t="s">
        <v>152</v>
      </c>
      <c r="F90" s="130" t="s">
        <v>97</v>
      </c>
      <c r="G90" s="130" t="s">
        <v>170</v>
      </c>
      <c r="H90" s="130" t="s">
        <v>171</v>
      </c>
      <c r="I90" s="130">
        <v>-650000</v>
      </c>
      <c r="J90" s="130"/>
      <c r="K90" s="130"/>
      <c r="L90" s="130"/>
      <c r="M90" s="130"/>
      <c r="N90" s="133"/>
      <c r="O90" s="133"/>
      <c r="P90" s="133">
        <v>-650000</v>
      </c>
      <c r="Q90" s="133"/>
      <c r="R90" s="133"/>
      <c r="T90" s="133"/>
      <c r="AE90" s="9"/>
      <c r="AF90" s="9"/>
      <c r="AG90" s="9"/>
      <c r="AH90" s="9"/>
      <c r="AI90" s="9"/>
      <c r="AJ90" s="9"/>
      <c r="AK90" s="9"/>
      <c r="AL90" s="9"/>
      <c r="AM90" s="9"/>
      <c r="AN90" s="9"/>
      <c r="AO90" s="9"/>
      <c r="AP90" s="9"/>
    </row>
    <row r="91" spans="1:42" x14ac:dyDescent="0.25">
      <c r="A91" s="130" t="s">
        <v>104</v>
      </c>
      <c r="B91" s="130" t="s">
        <v>93</v>
      </c>
      <c r="C91" s="130" t="s">
        <v>172</v>
      </c>
      <c r="D91" s="130" t="s">
        <v>123</v>
      </c>
      <c r="E91" s="130" t="s">
        <v>120</v>
      </c>
      <c r="F91" s="130" t="s">
        <v>105</v>
      </c>
      <c r="G91" s="130" t="s">
        <v>170</v>
      </c>
      <c r="H91" s="130" t="s">
        <v>173</v>
      </c>
      <c r="I91" s="130">
        <v>-151000</v>
      </c>
      <c r="J91" s="130"/>
      <c r="K91" s="130"/>
      <c r="L91" s="130"/>
      <c r="M91" s="130"/>
      <c r="N91" s="133"/>
      <c r="O91" s="133"/>
      <c r="P91" s="133">
        <v>-151000</v>
      </c>
      <c r="Q91" s="133"/>
      <c r="R91" s="133"/>
      <c r="T91" s="133"/>
      <c r="AE91" s="9"/>
      <c r="AF91" s="9"/>
      <c r="AG91" s="9"/>
      <c r="AH91" s="9"/>
      <c r="AI91" s="9"/>
      <c r="AJ91" s="9"/>
      <c r="AK91" s="9"/>
      <c r="AL91" s="9"/>
      <c r="AM91" s="9"/>
      <c r="AN91" s="9"/>
      <c r="AO91" s="9"/>
      <c r="AP91" s="9"/>
    </row>
    <row r="92" spans="1:42" x14ac:dyDescent="0.25">
      <c r="A92" s="130" t="s">
        <v>104</v>
      </c>
      <c r="B92" s="130" t="s">
        <v>94</v>
      </c>
      <c r="C92" s="130" t="s">
        <v>148</v>
      </c>
      <c r="D92" s="130" t="s">
        <v>115</v>
      </c>
      <c r="E92" s="130" t="s">
        <v>123</v>
      </c>
      <c r="F92" s="130" t="s">
        <v>104</v>
      </c>
      <c r="G92" s="130"/>
      <c r="H92" s="130" t="s">
        <v>150</v>
      </c>
      <c r="I92" s="130">
        <v>2000000</v>
      </c>
      <c r="J92" s="130"/>
      <c r="K92" s="130"/>
      <c r="L92" s="130"/>
      <c r="M92" s="130"/>
      <c r="N92" s="133"/>
      <c r="O92" s="133"/>
      <c r="P92" s="133">
        <v>2000000</v>
      </c>
      <c r="Q92" s="133"/>
      <c r="R92" s="133"/>
      <c r="T92" s="133"/>
      <c r="AE92" s="9"/>
      <c r="AF92" s="9"/>
      <c r="AG92" s="9"/>
      <c r="AH92" s="9"/>
      <c r="AI92" s="9"/>
      <c r="AJ92" s="9"/>
      <c r="AK92" s="9"/>
      <c r="AL92" s="9"/>
      <c r="AM92" s="9"/>
      <c r="AN92" s="9"/>
      <c r="AO92" s="9"/>
      <c r="AP92" s="9"/>
    </row>
    <row r="93" spans="1:42" x14ac:dyDescent="0.25">
      <c r="A93" s="130" t="s">
        <v>104</v>
      </c>
      <c r="B93" s="130" t="s">
        <v>94</v>
      </c>
      <c r="C93" s="130" t="s">
        <v>154</v>
      </c>
      <c r="D93" s="130" t="s">
        <v>95</v>
      </c>
      <c r="E93" s="130" t="s">
        <v>123</v>
      </c>
      <c r="F93" s="130" t="s">
        <v>104</v>
      </c>
      <c r="G93" s="130"/>
      <c r="H93" s="130" t="s">
        <v>156</v>
      </c>
      <c r="I93" s="130">
        <v>203066</v>
      </c>
      <c r="J93" s="130"/>
      <c r="K93" s="130"/>
      <c r="L93" s="130"/>
      <c r="M93" s="130"/>
      <c r="N93" s="133"/>
      <c r="O93" s="133"/>
      <c r="P93" s="133">
        <v>203066</v>
      </c>
      <c r="Q93" s="133"/>
      <c r="R93" s="133"/>
      <c r="T93" s="133"/>
      <c r="AE93" s="9"/>
      <c r="AF93" s="9"/>
      <c r="AG93" s="9"/>
      <c r="AH93" s="9"/>
      <c r="AI93" s="9"/>
      <c r="AJ93" s="9"/>
      <c r="AK93" s="9"/>
      <c r="AL93" s="9"/>
      <c r="AM93" s="9"/>
      <c r="AN93" s="9"/>
      <c r="AO93" s="9"/>
      <c r="AP93" s="9"/>
    </row>
    <row r="94" spans="1:42" x14ac:dyDescent="0.25">
      <c r="A94" s="130" t="s">
        <v>104</v>
      </c>
      <c r="B94" s="130" t="s">
        <v>114</v>
      </c>
      <c r="C94" s="130" t="s">
        <v>174</v>
      </c>
      <c r="D94" s="130" t="s">
        <v>152</v>
      </c>
      <c r="E94" s="130" t="s">
        <v>123</v>
      </c>
      <c r="F94" s="130" t="s">
        <v>103</v>
      </c>
      <c r="G94" s="130" t="s">
        <v>117</v>
      </c>
      <c r="H94" s="130" t="s">
        <v>175</v>
      </c>
      <c r="I94" s="130">
        <v>45000</v>
      </c>
      <c r="J94" s="130"/>
      <c r="K94" s="130">
        <v>45000</v>
      </c>
      <c r="L94" s="130"/>
      <c r="M94" s="130"/>
      <c r="N94" s="133"/>
      <c r="O94" s="133"/>
      <c r="P94" s="133"/>
      <c r="Q94" s="133"/>
      <c r="R94" s="133"/>
      <c r="T94" s="133"/>
      <c r="AE94" s="9"/>
      <c r="AF94" s="9"/>
      <c r="AG94" s="9"/>
      <c r="AH94" s="9"/>
      <c r="AI94" s="9"/>
      <c r="AJ94" s="9"/>
      <c r="AK94" s="9"/>
      <c r="AL94" s="9"/>
      <c r="AM94" s="9"/>
      <c r="AN94" s="9"/>
      <c r="AO94" s="9"/>
      <c r="AP94" s="9"/>
    </row>
    <row r="95" spans="1:42" x14ac:dyDescent="0.25">
      <c r="A95" s="130" t="s">
        <v>104</v>
      </c>
      <c r="B95" s="130" t="s">
        <v>114</v>
      </c>
      <c r="C95" s="130" t="s">
        <v>176</v>
      </c>
      <c r="D95" s="130" t="s">
        <v>116</v>
      </c>
      <c r="E95" s="130" t="s">
        <v>123</v>
      </c>
      <c r="F95" s="130" t="s">
        <v>103</v>
      </c>
      <c r="G95" s="130" t="s">
        <v>126</v>
      </c>
      <c r="H95" s="130" t="s">
        <v>177</v>
      </c>
      <c r="I95" s="130">
        <v>141056</v>
      </c>
      <c r="J95" s="130"/>
      <c r="K95" s="130">
        <v>141056</v>
      </c>
      <c r="L95" s="130"/>
      <c r="M95" s="130"/>
      <c r="N95" s="133"/>
      <c r="O95" s="133"/>
      <c r="P95" s="133"/>
      <c r="Q95" s="133"/>
      <c r="R95" s="133"/>
      <c r="T95" s="133"/>
      <c r="AE95" s="9"/>
      <c r="AF95" s="9"/>
      <c r="AG95" s="9"/>
      <c r="AH95" s="9"/>
      <c r="AI95" s="9"/>
      <c r="AJ95" s="9"/>
      <c r="AK95" s="9"/>
      <c r="AL95" s="9"/>
      <c r="AM95" s="9"/>
      <c r="AN95" s="9"/>
      <c r="AO95" s="9"/>
      <c r="AP95" s="9"/>
    </row>
    <row r="96" spans="1:42" x14ac:dyDescent="0.25">
      <c r="A96" s="130" t="s">
        <v>104</v>
      </c>
      <c r="B96" s="130" t="s">
        <v>110</v>
      </c>
      <c r="C96" s="130" t="s">
        <v>178</v>
      </c>
      <c r="D96" s="130" t="s">
        <v>123</v>
      </c>
      <c r="E96" s="130" t="s">
        <v>95</v>
      </c>
      <c r="F96" s="130" t="s">
        <v>103</v>
      </c>
      <c r="G96" s="130" t="s">
        <v>179</v>
      </c>
      <c r="H96" s="130" t="s">
        <v>180</v>
      </c>
      <c r="I96" s="130">
        <v>-291818</v>
      </c>
      <c r="J96" s="130"/>
      <c r="K96" s="130"/>
      <c r="L96" s="130"/>
      <c r="M96" s="130"/>
      <c r="N96" s="133"/>
      <c r="O96" s="133"/>
      <c r="P96" s="133">
        <v>-291818</v>
      </c>
      <c r="Q96" s="133"/>
      <c r="R96" s="133"/>
      <c r="T96" s="133"/>
      <c r="AE96" s="9"/>
      <c r="AF96" s="9"/>
      <c r="AG96" s="9"/>
      <c r="AH96" s="9"/>
      <c r="AI96" s="9"/>
      <c r="AJ96" s="9"/>
      <c r="AK96" s="9"/>
      <c r="AL96" s="9"/>
      <c r="AM96" s="9"/>
      <c r="AN96" s="9"/>
      <c r="AO96" s="9"/>
      <c r="AP96" s="9"/>
    </row>
    <row r="97" spans="1:42" x14ac:dyDescent="0.25">
      <c r="A97" s="130" t="s">
        <v>105</v>
      </c>
      <c r="B97" s="130" t="s">
        <v>93</v>
      </c>
      <c r="C97" s="130" t="s">
        <v>205</v>
      </c>
      <c r="D97" s="130" t="s">
        <v>123</v>
      </c>
      <c r="E97" s="130" t="s">
        <v>95</v>
      </c>
      <c r="F97" s="130" t="s">
        <v>97</v>
      </c>
      <c r="G97" s="130" t="s">
        <v>206</v>
      </c>
      <c r="H97" s="130" t="s">
        <v>207</v>
      </c>
      <c r="I97" s="130">
        <v>-1037355</v>
      </c>
      <c r="J97" s="130"/>
      <c r="K97" s="130"/>
      <c r="L97" s="130"/>
      <c r="M97" s="130"/>
      <c r="N97" s="133"/>
      <c r="O97" s="133"/>
      <c r="P97" s="133">
        <v>-1037355</v>
      </c>
      <c r="Q97" s="133"/>
      <c r="R97" s="133"/>
      <c r="T97" s="133"/>
      <c r="AE97" s="9"/>
      <c r="AF97" s="9"/>
      <c r="AG97" s="9"/>
      <c r="AH97" s="9"/>
      <c r="AI97" s="9"/>
      <c r="AJ97" s="9"/>
      <c r="AK97" s="9"/>
      <c r="AL97" s="9"/>
      <c r="AM97" s="9"/>
      <c r="AN97" s="9"/>
      <c r="AO97" s="9"/>
      <c r="AP97" s="9"/>
    </row>
    <row r="98" spans="1:42" x14ac:dyDescent="0.25">
      <c r="A98" s="130" t="s">
        <v>105</v>
      </c>
      <c r="B98" s="130" t="s">
        <v>93</v>
      </c>
      <c r="C98" s="130" t="s">
        <v>208</v>
      </c>
      <c r="D98" s="130" t="s">
        <v>123</v>
      </c>
      <c r="E98" s="130" t="s">
        <v>95</v>
      </c>
      <c r="F98" s="130" t="s">
        <v>97</v>
      </c>
      <c r="G98" s="130" t="s">
        <v>206</v>
      </c>
      <c r="H98" s="130" t="s">
        <v>207</v>
      </c>
      <c r="I98" s="130">
        <v>-186713.57</v>
      </c>
      <c r="J98" s="130"/>
      <c r="K98" s="130"/>
      <c r="L98" s="130"/>
      <c r="M98" s="130"/>
      <c r="N98" s="133"/>
      <c r="O98" s="133"/>
      <c r="P98" s="133">
        <v>-186713.57</v>
      </c>
      <c r="Q98" s="133"/>
      <c r="R98" s="133"/>
      <c r="T98" s="133"/>
      <c r="AE98" s="9"/>
      <c r="AF98" s="9"/>
      <c r="AG98" s="9"/>
      <c r="AH98" s="9"/>
      <c r="AI98" s="9"/>
      <c r="AJ98" s="9"/>
      <c r="AK98" s="9"/>
      <c r="AL98" s="9"/>
      <c r="AM98" s="9"/>
      <c r="AN98" s="9"/>
      <c r="AO98" s="9"/>
      <c r="AP98" s="9"/>
    </row>
    <row r="99" spans="1:42" x14ac:dyDescent="0.25">
      <c r="A99" s="130" t="s">
        <v>105</v>
      </c>
      <c r="B99" s="130" t="s">
        <v>94</v>
      </c>
      <c r="C99" s="130" t="s">
        <v>148</v>
      </c>
      <c r="D99" s="130" t="s">
        <v>115</v>
      </c>
      <c r="E99" s="130" t="s">
        <v>123</v>
      </c>
      <c r="F99" s="130" t="s">
        <v>105</v>
      </c>
      <c r="G99" s="130"/>
      <c r="H99" s="130" t="s">
        <v>150</v>
      </c>
      <c r="I99" s="130">
        <v>480698</v>
      </c>
      <c r="J99" s="130"/>
      <c r="K99" s="130"/>
      <c r="L99" s="130"/>
      <c r="M99" s="130"/>
      <c r="N99" s="133"/>
      <c r="O99" s="133"/>
      <c r="P99" s="133">
        <v>480698</v>
      </c>
      <c r="Q99" s="133"/>
      <c r="R99" s="133"/>
      <c r="T99" s="133"/>
      <c r="AE99" s="9"/>
      <c r="AF99" s="9"/>
      <c r="AG99" s="9"/>
      <c r="AH99" s="9"/>
      <c r="AI99" s="9"/>
      <c r="AJ99" s="9"/>
      <c r="AK99" s="9"/>
      <c r="AL99" s="9"/>
      <c r="AM99" s="9"/>
      <c r="AN99" s="9"/>
      <c r="AO99" s="9"/>
      <c r="AP99" s="9"/>
    </row>
    <row r="100" spans="1:42" x14ac:dyDescent="0.25">
      <c r="A100" s="130" t="s">
        <v>105</v>
      </c>
      <c r="B100" s="130" t="s">
        <v>94</v>
      </c>
      <c r="C100" s="130" t="s">
        <v>122</v>
      </c>
      <c r="D100" s="130" t="s">
        <v>119</v>
      </c>
      <c r="E100" s="130" t="s">
        <v>123</v>
      </c>
      <c r="F100" s="130" t="s">
        <v>105</v>
      </c>
      <c r="G100" s="130" t="s">
        <v>124</v>
      </c>
      <c r="H100" s="130" t="s">
        <v>125</v>
      </c>
      <c r="I100" s="130">
        <v>643000</v>
      </c>
      <c r="J100" s="130"/>
      <c r="K100" s="130"/>
      <c r="L100" s="130"/>
      <c r="M100" s="130"/>
      <c r="N100" s="133"/>
      <c r="O100" s="133">
        <v>643000</v>
      </c>
      <c r="P100" s="133"/>
      <c r="Q100" s="133"/>
      <c r="R100" s="133"/>
      <c r="T100" s="133"/>
      <c r="AE100" s="9"/>
      <c r="AF100" s="9"/>
      <c r="AG100" s="9"/>
      <c r="AH100" s="9"/>
      <c r="AI100" s="9"/>
      <c r="AJ100" s="9"/>
      <c r="AK100" s="9"/>
      <c r="AL100" s="9"/>
      <c r="AM100" s="9"/>
      <c r="AN100" s="9"/>
      <c r="AO100" s="9"/>
      <c r="AP100" s="9"/>
    </row>
    <row r="101" spans="1:42" x14ac:dyDescent="0.25">
      <c r="A101" s="130" t="s">
        <v>105</v>
      </c>
      <c r="B101" s="130" t="s">
        <v>94</v>
      </c>
      <c r="C101" s="130" t="s">
        <v>172</v>
      </c>
      <c r="D101" s="130" t="s">
        <v>120</v>
      </c>
      <c r="E101" s="130" t="s">
        <v>123</v>
      </c>
      <c r="F101" s="130" t="s">
        <v>105</v>
      </c>
      <c r="G101" s="130" t="s">
        <v>170</v>
      </c>
      <c r="H101" s="130" t="s">
        <v>173</v>
      </c>
      <c r="I101" s="130">
        <v>151000</v>
      </c>
      <c r="J101" s="130"/>
      <c r="K101" s="130"/>
      <c r="L101" s="130"/>
      <c r="M101" s="130"/>
      <c r="N101" s="133"/>
      <c r="O101" s="133"/>
      <c r="P101" s="133">
        <v>151000</v>
      </c>
      <c r="Q101" s="133"/>
      <c r="R101" s="133"/>
      <c r="T101" s="133"/>
      <c r="AE101" s="9"/>
      <c r="AF101" s="9"/>
      <c r="AG101" s="9"/>
      <c r="AH101" s="9"/>
      <c r="AI101" s="9"/>
      <c r="AJ101" s="9"/>
      <c r="AK101" s="9"/>
      <c r="AL101" s="9"/>
      <c r="AM101" s="9"/>
      <c r="AN101" s="9"/>
      <c r="AO101" s="9"/>
      <c r="AP101" s="9"/>
    </row>
    <row r="102" spans="1:42" x14ac:dyDescent="0.25">
      <c r="A102" s="130" t="s">
        <v>105</v>
      </c>
      <c r="B102" s="130" t="s">
        <v>114</v>
      </c>
      <c r="C102" s="130" t="s">
        <v>211</v>
      </c>
      <c r="D102" s="130" t="s">
        <v>95</v>
      </c>
      <c r="E102" s="130" t="s">
        <v>123</v>
      </c>
      <c r="F102" s="130" t="s">
        <v>105</v>
      </c>
      <c r="G102" s="130" t="s">
        <v>189</v>
      </c>
      <c r="H102" s="130" t="s">
        <v>212</v>
      </c>
      <c r="I102" s="130">
        <v>1060338</v>
      </c>
      <c r="J102" s="130">
        <v>1060338</v>
      </c>
      <c r="K102" s="130"/>
      <c r="L102" s="130"/>
      <c r="M102" s="130"/>
      <c r="N102" s="133"/>
      <c r="O102" s="133"/>
      <c r="P102" s="133"/>
      <c r="Q102" s="133"/>
      <c r="R102" s="133"/>
      <c r="T102" s="133"/>
      <c r="AE102" s="9"/>
      <c r="AF102" s="9"/>
      <c r="AG102" s="9"/>
      <c r="AH102" s="9"/>
      <c r="AI102" s="9"/>
      <c r="AJ102" s="9"/>
      <c r="AK102" s="9"/>
      <c r="AL102" s="9"/>
      <c r="AM102" s="9"/>
      <c r="AN102" s="9"/>
      <c r="AO102" s="9"/>
      <c r="AP102" s="9"/>
    </row>
    <row r="103" spans="1:42" x14ac:dyDescent="0.25">
      <c r="A103" s="130" t="s">
        <v>105</v>
      </c>
      <c r="B103" s="130" t="s">
        <v>114</v>
      </c>
      <c r="C103" s="130" t="s">
        <v>218</v>
      </c>
      <c r="D103" s="130" t="s">
        <v>95</v>
      </c>
      <c r="E103" s="130" t="s">
        <v>123</v>
      </c>
      <c r="F103" s="130" t="s">
        <v>105</v>
      </c>
      <c r="G103" s="130" t="s">
        <v>204</v>
      </c>
      <c r="H103" s="130" t="s">
        <v>212</v>
      </c>
      <c r="I103" s="130">
        <v>140510</v>
      </c>
      <c r="J103" s="130">
        <v>140510</v>
      </c>
      <c r="K103" s="130"/>
      <c r="L103" s="130"/>
      <c r="M103" s="130"/>
      <c r="N103" s="133"/>
      <c r="O103" s="133"/>
      <c r="P103" s="133"/>
      <c r="Q103" s="133"/>
      <c r="R103" s="133"/>
      <c r="T103" s="133"/>
      <c r="AE103" s="9"/>
      <c r="AF103" s="9"/>
      <c r="AG103" s="9"/>
      <c r="AH103" s="9"/>
      <c r="AI103" s="9"/>
      <c r="AJ103" s="9"/>
      <c r="AK103" s="9"/>
      <c r="AL103" s="9"/>
      <c r="AM103" s="9"/>
      <c r="AN103" s="9"/>
      <c r="AO103" s="9"/>
      <c r="AP103" s="9"/>
    </row>
    <row r="104" spans="1:42" x14ac:dyDescent="0.25">
      <c r="A104" s="130" t="s">
        <v>105</v>
      </c>
      <c r="B104" s="130" t="s">
        <v>110</v>
      </c>
      <c r="C104" s="130" t="s">
        <v>211</v>
      </c>
      <c r="D104" s="130" t="s">
        <v>123</v>
      </c>
      <c r="E104" s="130" t="s">
        <v>95</v>
      </c>
      <c r="F104" s="130" t="s">
        <v>105</v>
      </c>
      <c r="G104" s="130" t="s">
        <v>189</v>
      </c>
      <c r="H104" s="130" t="s">
        <v>213</v>
      </c>
      <c r="I104" s="130">
        <v>-1178153</v>
      </c>
      <c r="J104" s="130"/>
      <c r="K104" s="130"/>
      <c r="L104" s="130"/>
      <c r="M104" s="130"/>
      <c r="N104" s="133"/>
      <c r="O104" s="133">
        <v>-1178153</v>
      </c>
      <c r="P104" s="133"/>
      <c r="Q104" s="133"/>
      <c r="R104" s="133"/>
      <c r="T104" s="133"/>
      <c r="AE104" s="9"/>
      <c r="AF104" s="9"/>
      <c r="AG104" s="9"/>
      <c r="AH104" s="9"/>
      <c r="AI104" s="9"/>
      <c r="AJ104" s="9"/>
      <c r="AK104" s="9"/>
      <c r="AL104" s="9"/>
      <c r="AM104" s="9"/>
      <c r="AN104" s="9"/>
      <c r="AO104" s="9"/>
      <c r="AP104" s="9"/>
    </row>
    <row r="105" spans="1:42" x14ac:dyDescent="0.25">
      <c r="A105" s="25" t="s">
        <v>105</v>
      </c>
      <c r="B105" s="25" t="s">
        <v>110</v>
      </c>
      <c r="C105" s="25" t="s">
        <v>218</v>
      </c>
      <c r="D105" s="25" t="s">
        <v>123</v>
      </c>
      <c r="E105" s="25" t="s">
        <v>95</v>
      </c>
      <c r="F105" s="25" t="s">
        <v>105</v>
      </c>
      <c r="G105" s="25" t="s">
        <v>204</v>
      </c>
      <c r="H105" s="25" t="s">
        <v>213</v>
      </c>
      <c r="I105" s="25">
        <v>-156122</v>
      </c>
      <c r="O105" s="25">
        <v>-156122</v>
      </c>
    </row>
    <row r="106" spans="1:42" x14ac:dyDescent="0.25">
      <c r="A106" s="25" t="s">
        <v>105</v>
      </c>
      <c r="B106" s="25" t="s">
        <v>110</v>
      </c>
      <c r="C106" s="25" t="s">
        <v>181</v>
      </c>
      <c r="D106" s="25" t="s">
        <v>123</v>
      </c>
      <c r="E106" s="25" t="s">
        <v>95</v>
      </c>
      <c r="F106" s="25" t="s">
        <v>105</v>
      </c>
      <c r="G106" s="25" t="s">
        <v>182</v>
      </c>
      <c r="H106" s="25" t="s">
        <v>180</v>
      </c>
      <c r="I106" s="25">
        <v>-143805</v>
      </c>
      <c r="P106" s="25">
        <v>-143805</v>
      </c>
    </row>
    <row r="107" spans="1:42" x14ac:dyDescent="0.25">
      <c r="A107" s="148" t="s">
        <v>105</v>
      </c>
      <c r="B107" s="148" t="s">
        <v>110</v>
      </c>
      <c r="C107" s="148" t="s">
        <v>183</v>
      </c>
      <c r="D107" s="148" t="s">
        <v>123</v>
      </c>
      <c r="E107" s="148" t="s">
        <v>95</v>
      </c>
      <c r="F107" s="148" t="s">
        <v>105</v>
      </c>
      <c r="G107" s="148" t="s">
        <v>184</v>
      </c>
      <c r="H107" s="148" t="s">
        <v>180</v>
      </c>
      <c r="I107" s="148">
        <v>-239469</v>
      </c>
      <c r="J107" s="148"/>
      <c r="K107" s="148"/>
      <c r="L107" s="148"/>
      <c r="M107" s="148"/>
      <c r="N107" s="148"/>
      <c r="O107" s="148"/>
      <c r="P107" s="148">
        <v>-239469</v>
      </c>
      <c r="Q107" s="148"/>
      <c r="R107" s="148"/>
      <c r="S107" s="148"/>
    </row>
    <row r="108" spans="1:42" x14ac:dyDescent="0.25">
      <c r="A108" s="148" t="s">
        <v>97</v>
      </c>
      <c r="B108" s="148" t="s">
        <v>93</v>
      </c>
      <c r="C108" s="148" t="s">
        <v>222</v>
      </c>
      <c r="D108" s="148" t="s">
        <v>123</v>
      </c>
      <c r="E108" s="148" t="s">
        <v>95</v>
      </c>
      <c r="F108" s="148" t="s">
        <v>223</v>
      </c>
      <c r="G108" s="148" t="s">
        <v>224</v>
      </c>
      <c r="H108" s="148" t="s">
        <v>225</v>
      </c>
      <c r="I108" s="148">
        <v>-315000</v>
      </c>
      <c r="J108" s="148"/>
      <c r="K108" s="148"/>
      <c r="L108" s="148"/>
      <c r="M108" s="148"/>
      <c r="N108" s="148">
        <v>-315000</v>
      </c>
      <c r="O108" s="148"/>
      <c r="P108" s="148"/>
      <c r="Q108" s="148"/>
      <c r="R108" s="148"/>
      <c r="S108" s="148"/>
    </row>
    <row r="109" spans="1:42" x14ac:dyDescent="0.25">
      <c r="A109" s="149" t="s">
        <v>97</v>
      </c>
      <c r="B109" s="149" t="s">
        <v>93</v>
      </c>
      <c r="C109" s="149" t="s">
        <v>214</v>
      </c>
      <c r="D109" s="149" t="s">
        <v>123</v>
      </c>
      <c r="E109" s="149" t="s">
        <v>98</v>
      </c>
      <c r="F109" s="149" t="s">
        <v>215</v>
      </c>
      <c r="G109" s="149" t="s">
        <v>216</v>
      </c>
      <c r="H109" s="149" t="s">
        <v>217</v>
      </c>
      <c r="I109" s="149">
        <v>-375000</v>
      </c>
      <c r="J109" s="149"/>
      <c r="K109" s="149"/>
      <c r="L109" s="149"/>
      <c r="M109" s="149"/>
      <c r="N109" s="149">
        <v>-375000</v>
      </c>
      <c r="O109" s="149"/>
      <c r="P109" s="149"/>
      <c r="Q109" s="149"/>
      <c r="R109" s="149"/>
      <c r="S109" s="149"/>
    </row>
    <row r="110" spans="1:42" x14ac:dyDescent="0.25">
      <c r="A110" s="149" t="s">
        <v>97</v>
      </c>
      <c r="B110" s="149" t="s">
        <v>94</v>
      </c>
      <c r="C110" s="149" t="s">
        <v>148</v>
      </c>
      <c r="D110" s="149" t="s">
        <v>115</v>
      </c>
      <c r="E110" s="149" t="s">
        <v>123</v>
      </c>
      <c r="F110" s="149" t="s">
        <v>97</v>
      </c>
      <c r="G110" s="149"/>
      <c r="H110" s="149" t="s">
        <v>150</v>
      </c>
      <c r="I110" s="149">
        <v>571500</v>
      </c>
      <c r="J110" s="149"/>
      <c r="K110" s="149"/>
      <c r="L110" s="149"/>
      <c r="M110" s="149"/>
      <c r="N110" s="149"/>
      <c r="O110" s="149">
        <v>571500</v>
      </c>
      <c r="P110" s="149"/>
      <c r="Q110" s="149"/>
      <c r="R110" s="149"/>
      <c r="S110" s="149"/>
    </row>
    <row r="111" spans="1:42" x14ac:dyDescent="0.25">
      <c r="A111" s="149" t="s">
        <v>97</v>
      </c>
      <c r="B111" s="149" t="s">
        <v>94</v>
      </c>
      <c r="C111" s="149" t="s">
        <v>157</v>
      </c>
      <c r="D111" s="149" t="s">
        <v>158</v>
      </c>
      <c r="E111" s="149" t="s">
        <v>123</v>
      </c>
      <c r="F111" s="149" t="s">
        <v>97</v>
      </c>
      <c r="G111" s="149"/>
      <c r="H111" s="149" t="s">
        <v>185</v>
      </c>
      <c r="I111" s="149">
        <v>185000</v>
      </c>
      <c r="J111" s="149"/>
      <c r="K111" s="149"/>
      <c r="L111" s="149"/>
      <c r="M111" s="149"/>
      <c r="N111" s="149"/>
      <c r="O111" s="149">
        <v>185000</v>
      </c>
      <c r="P111" s="149"/>
      <c r="Q111" s="149"/>
      <c r="R111" s="149"/>
      <c r="S111" s="149"/>
    </row>
    <row r="112" spans="1:42" x14ac:dyDescent="0.25">
      <c r="A112" s="149" t="s">
        <v>97</v>
      </c>
      <c r="B112" s="149" t="s">
        <v>94</v>
      </c>
      <c r="C112" s="149" t="s">
        <v>205</v>
      </c>
      <c r="D112" s="149" t="s">
        <v>95</v>
      </c>
      <c r="E112" s="149" t="s">
        <v>123</v>
      </c>
      <c r="F112" s="149" t="s">
        <v>97</v>
      </c>
      <c r="G112" s="149" t="s">
        <v>206</v>
      </c>
      <c r="H112" s="149" t="s">
        <v>207</v>
      </c>
      <c r="I112" s="149">
        <v>1037355</v>
      </c>
      <c r="J112" s="149"/>
      <c r="K112" s="149"/>
      <c r="L112" s="149"/>
      <c r="M112" s="149"/>
      <c r="N112" s="149">
        <v>1037355</v>
      </c>
      <c r="O112" s="149"/>
      <c r="P112" s="149"/>
      <c r="Q112" s="149"/>
      <c r="R112" s="149"/>
      <c r="S112" s="149"/>
    </row>
    <row r="113" spans="1:19" x14ac:dyDescent="0.25">
      <c r="A113" s="150" t="s">
        <v>97</v>
      </c>
      <c r="B113" s="150" t="s">
        <v>94</v>
      </c>
      <c r="C113" s="150" t="s">
        <v>208</v>
      </c>
      <c r="D113" s="150" t="s">
        <v>95</v>
      </c>
      <c r="E113" s="150" t="s">
        <v>123</v>
      </c>
      <c r="F113" s="150" t="s">
        <v>97</v>
      </c>
      <c r="G113" s="150" t="s">
        <v>206</v>
      </c>
      <c r="H113" s="150" t="s">
        <v>207</v>
      </c>
      <c r="I113" s="150">
        <v>186713.57</v>
      </c>
      <c r="J113" s="150"/>
      <c r="K113" s="150"/>
      <c r="L113" s="150"/>
      <c r="M113" s="150"/>
      <c r="N113" s="150">
        <v>186713.57</v>
      </c>
      <c r="O113" s="150"/>
      <c r="P113" s="150"/>
      <c r="Q113" s="150"/>
      <c r="R113" s="150"/>
      <c r="S113" s="150"/>
    </row>
    <row r="114" spans="1:19" x14ac:dyDescent="0.25">
      <c r="A114" s="150" t="s">
        <v>97</v>
      </c>
      <c r="B114" s="150" t="s">
        <v>94</v>
      </c>
      <c r="C114" s="150" t="s">
        <v>169</v>
      </c>
      <c r="D114" s="150" t="s">
        <v>152</v>
      </c>
      <c r="E114" s="150" t="s">
        <v>123</v>
      </c>
      <c r="F114" s="150" t="s">
        <v>97</v>
      </c>
      <c r="G114" s="150" t="s">
        <v>170</v>
      </c>
      <c r="H114" s="150" t="s">
        <v>171</v>
      </c>
      <c r="I114" s="150">
        <v>650000</v>
      </c>
      <c r="J114" s="150"/>
      <c r="K114" s="150"/>
      <c r="L114" s="150"/>
      <c r="M114" s="150"/>
      <c r="N114" s="150">
        <v>650000</v>
      </c>
      <c r="O114" s="150"/>
      <c r="P114" s="150"/>
      <c r="Q114" s="150"/>
      <c r="R114" s="150"/>
      <c r="S114" s="150"/>
    </row>
    <row r="115" spans="1:19" x14ac:dyDescent="0.25">
      <c r="A115" s="151" t="s">
        <v>215</v>
      </c>
      <c r="B115" s="151" t="s">
        <v>94</v>
      </c>
      <c r="C115" s="151" t="s">
        <v>214</v>
      </c>
      <c r="D115" s="151" t="s">
        <v>98</v>
      </c>
      <c r="E115" s="151" t="s">
        <v>123</v>
      </c>
      <c r="F115" s="151" t="s">
        <v>215</v>
      </c>
      <c r="G115" s="151" t="s">
        <v>216</v>
      </c>
      <c r="H115" s="151" t="s">
        <v>217</v>
      </c>
      <c r="I115" s="151">
        <v>375000</v>
      </c>
      <c r="J115" s="151"/>
      <c r="K115" s="151"/>
      <c r="L115" s="151"/>
      <c r="M115" s="151"/>
      <c r="N115" s="151">
        <v>375000</v>
      </c>
      <c r="O115" s="151"/>
      <c r="P115" s="151"/>
      <c r="Q115" s="151"/>
      <c r="R115" s="151"/>
      <c r="S115" s="151"/>
    </row>
    <row r="116" spans="1:19" x14ac:dyDescent="0.25">
      <c r="A116" s="151" t="s">
        <v>223</v>
      </c>
      <c r="B116" s="151" t="s">
        <v>94</v>
      </c>
      <c r="C116" s="151" t="s">
        <v>222</v>
      </c>
      <c r="D116" s="151" t="s">
        <v>95</v>
      </c>
      <c r="E116" s="151" t="s">
        <v>123</v>
      </c>
      <c r="F116" s="151" t="s">
        <v>223</v>
      </c>
      <c r="G116" s="151" t="s">
        <v>224</v>
      </c>
      <c r="H116" s="151" t="s">
        <v>225</v>
      </c>
      <c r="I116" s="151">
        <v>315000</v>
      </c>
      <c r="J116" s="151"/>
      <c r="K116" s="151"/>
      <c r="L116" s="151"/>
      <c r="M116" s="151"/>
      <c r="N116" s="151">
        <v>315000</v>
      </c>
      <c r="O116" s="151"/>
      <c r="P116" s="151"/>
      <c r="Q116" s="151"/>
      <c r="R116" s="151"/>
      <c r="S116" s="151"/>
    </row>
  </sheetData>
  <mergeCells count="5">
    <mergeCell ref="A1:F1"/>
    <mergeCell ref="A3:F3"/>
    <mergeCell ref="A9:G9"/>
    <mergeCell ref="A63:G63"/>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9" t="s">
        <v>14</v>
      </c>
      <c r="C1" s="179"/>
      <c r="D1" s="179"/>
      <c r="E1" s="179"/>
    </row>
    <row r="2" spans="1:5" ht="81.75" customHeight="1" x14ac:dyDescent="0.35">
      <c r="A2" s="1">
        <v>1</v>
      </c>
      <c r="B2" s="172" t="s">
        <v>16</v>
      </c>
      <c r="C2" s="172"/>
      <c r="D2" s="172"/>
      <c r="E2" s="172"/>
    </row>
    <row r="3" spans="1:5" ht="14.45" x14ac:dyDescent="0.35">
      <c r="B3" s="3"/>
      <c r="C3" s="3"/>
      <c r="D3" s="3"/>
      <c r="E3" s="3"/>
    </row>
    <row r="4" spans="1:5" ht="33" customHeight="1" x14ac:dyDescent="0.35">
      <c r="A4" s="1">
        <v>2</v>
      </c>
      <c r="B4" s="172" t="s">
        <v>17</v>
      </c>
      <c r="C4" s="172"/>
      <c r="D4" s="172"/>
      <c r="E4" s="172"/>
    </row>
    <row r="5" spans="1:5" ht="14.45" x14ac:dyDescent="0.35">
      <c r="B5" s="3"/>
      <c r="C5" s="3"/>
      <c r="D5" s="3"/>
      <c r="E5" s="3"/>
    </row>
    <row r="6" spans="1:5" s="17" customFormat="1" ht="114" customHeight="1" x14ac:dyDescent="0.25">
      <c r="A6" s="18">
        <v>3</v>
      </c>
      <c r="B6" s="173" t="s">
        <v>236</v>
      </c>
      <c r="C6" s="173"/>
      <c r="D6" s="173"/>
      <c r="E6" s="173"/>
    </row>
    <row r="7" spans="1:5" s="17" customFormat="1" ht="14.45" x14ac:dyDescent="0.35">
      <c r="A7" s="18"/>
      <c r="B7" s="19"/>
      <c r="C7" s="19"/>
      <c r="D7" s="19"/>
      <c r="E7" s="19"/>
    </row>
    <row r="8" spans="1:5" ht="18" customHeight="1" x14ac:dyDescent="0.3">
      <c r="A8" s="1">
        <v>4</v>
      </c>
      <c r="B8" s="176" t="s">
        <v>56</v>
      </c>
      <c r="C8" s="176"/>
      <c r="D8" s="8"/>
      <c r="E8" s="8"/>
    </row>
    <row r="9" spans="1:5" ht="18" customHeight="1" x14ac:dyDescent="0.25">
      <c r="B9" s="181" t="s">
        <v>231</v>
      </c>
      <c r="C9" s="181"/>
      <c r="D9" s="13">
        <v>200000</v>
      </c>
    </row>
    <row r="10" spans="1:5" ht="18" customHeight="1" x14ac:dyDescent="0.25">
      <c r="B10" s="172" t="s">
        <v>234</v>
      </c>
      <c r="C10" s="172"/>
      <c r="D10" s="12">
        <v>-31250</v>
      </c>
    </row>
    <row r="11" spans="1:5" ht="18" customHeight="1" x14ac:dyDescent="0.25">
      <c r="B11" s="181" t="s">
        <v>235</v>
      </c>
      <c r="C11" s="181"/>
      <c r="D11" s="14">
        <f>+D9+D10</f>
        <v>168750</v>
      </c>
    </row>
    <row r="12" spans="1:5" ht="31.5" customHeight="1" x14ac:dyDescent="0.25">
      <c r="B12" s="172" t="s">
        <v>232</v>
      </c>
      <c r="C12" s="172"/>
      <c r="D12" s="11">
        <v>31250</v>
      </c>
    </row>
    <row r="13" spans="1:5" ht="36.75" customHeight="1" x14ac:dyDescent="0.25">
      <c r="B13" s="181" t="s">
        <v>233</v>
      </c>
      <c r="C13" s="181"/>
      <c r="D13" s="15">
        <f>SUM(D11:D12)</f>
        <v>200000</v>
      </c>
    </row>
    <row r="14" spans="1:5" s="17" customFormat="1" ht="18" customHeight="1" x14ac:dyDescent="0.25">
      <c r="A14" s="18"/>
      <c r="B14" s="22"/>
      <c r="C14" s="22"/>
      <c r="D14" s="23"/>
    </row>
    <row r="15" spans="1:5" s="17" customFormat="1" ht="84.75" customHeight="1" x14ac:dyDescent="0.25">
      <c r="A15" s="1">
        <v>5</v>
      </c>
      <c r="B15" s="180" t="s">
        <v>57</v>
      </c>
      <c r="C15" s="180"/>
      <c r="D15" s="180"/>
      <c r="E15" s="180"/>
    </row>
    <row r="16" spans="1:5" x14ac:dyDescent="0.25">
      <c r="B16" s="3"/>
      <c r="C16" s="3"/>
      <c r="D16" s="3"/>
      <c r="E16" s="3"/>
    </row>
    <row r="17" spans="1:5" ht="14.45" customHeight="1" x14ac:dyDescent="0.25">
      <c r="A17" s="1">
        <v>6</v>
      </c>
      <c r="B17" s="172" t="s">
        <v>190</v>
      </c>
      <c r="C17" s="172"/>
      <c r="D17" s="172"/>
      <c r="E17" s="172"/>
    </row>
    <row r="18" spans="1:5" x14ac:dyDescent="0.25">
      <c r="B18" s="10"/>
      <c r="C18" s="10"/>
      <c r="D18" s="10"/>
      <c r="E18" s="10"/>
    </row>
    <row r="19" spans="1:5" ht="33" customHeight="1" x14ac:dyDescent="0.25">
      <c r="A19" s="1">
        <v>7</v>
      </c>
      <c r="B19" s="172" t="s">
        <v>37</v>
      </c>
      <c r="C19" s="172"/>
      <c r="D19" s="172"/>
      <c r="E19" s="172"/>
    </row>
    <row r="20" spans="1:5" ht="14.25" customHeight="1" x14ac:dyDescent="0.25">
      <c r="B20" s="7"/>
      <c r="C20" s="7"/>
      <c r="D20" s="7"/>
      <c r="E20" s="7"/>
    </row>
    <row r="21" spans="1:5" ht="47.25" customHeight="1" x14ac:dyDescent="0.25">
      <c r="A21" s="1">
        <v>8</v>
      </c>
      <c r="B21" s="172" t="s">
        <v>38</v>
      </c>
      <c r="C21" s="172"/>
      <c r="D21" s="172"/>
      <c r="E21" s="172"/>
    </row>
    <row r="22" spans="1:5" ht="15" customHeight="1" x14ac:dyDescent="0.25">
      <c r="B22" s="7"/>
      <c r="C22" s="7"/>
      <c r="D22" s="7"/>
      <c r="E22" s="7"/>
    </row>
    <row r="23" spans="1:5" ht="32.25" customHeight="1" x14ac:dyDescent="0.25">
      <c r="A23" s="1">
        <v>9</v>
      </c>
      <c r="B23" s="172" t="s">
        <v>36</v>
      </c>
      <c r="C23" s="172"/>
      <c r="D23" s="172"/>
      <c r="E23" s="172"/>
    </row>
    <row r="24" spans="1:5" ht="15" customHeight="1" x14ac:dyDescent="0.25">
      <c r="B24" s="7"/>
      <c r="C24" s="7"/>
      <c r="D24" s="7"/>
      <c r="E24" s="7"/>
    </row>
    <row r="25" spans="1:5" ht="33" customHeight="1" x14ac:dyDescent="0.25">
      <c r="A25" s="1">
        <v>10</v>
      </c>
      <c r="B25" s="172" t="s">
        <v>39</v>
      </c>
      <c r="C25" s="172"/>
      <c r="D25" s="172"/>
      <c r="E25" s="172"/>
    </row>
    <row r="26" spans="1:5" x14ac:dyDescent="0.25">
      <c r="B26" s="3"/>
      <c r="C26" s="3"/>
      <c r="D26" s="3"/>
      <c r="E26" s="3"/>
    </row>
    <row r="27" spans="1:5" ht="30" customHeight="1" x14ac:dyDescent="0.25">
      <c r="A27" s="1">
        <v>11</v>
      </c>
      <c r="B27" s="172" t="s">
        <v>40</v>
      </c>
      <c r="C27" s="172"/>
      <c r="D27" s="172"/>
      <c r="E27" s="172"/>
    </row>
    <row r="28" spans="1:5" x14ac:dyDescent="0.25">
      <c r="B28" s="3"/>
      <c r="C28" s="3"/>
      <c r="D28" s="3"/>
      <c r="E28" s="3"/>
    </row>
    <row r="29" spans="1:5" ht="31.5" customHeight="1" x14ac:dyDescent="0.25">
      <c r="A29" s="1">
        <v>12</v>
      </c>
      <c r="B29" s="172" t="s">
        <v>41</v>
      </c>
      <c r="C29" s="172"/>
      <c r="D29" s="172"/>
      <c r="E29" s="172"/>
    </row>
    <row r="30" spans="1:5" x14ac:dyDescent="0.25">
      <c r="B30" s="7"/>
      <c r="C30" s="7"/>
      <c r="D30" s="7"/>
      <c r="E30" s="7"/>
    </row>
    <row r="31" spans="1:5" ht="34.5" customHeight="1" x14ac:dyDescent="0.25">
      <c r="A31" s="1">
        <v>13</v>
      </c>
      <c r="B31" s="172" t="s">
        <v>18</v>
      </c>
      <c r="C31" s="172"/>
      <c r="D31" s="172"/>
      <c r="E31" s="172"/>
    </row>
    <row r="32" spans="1:5" ht="16.5" customHeight="1" x14ac:dyDescent="0.25">
      <c r="B32" s="3"/>
      <c r="C32" s="3"/>
      <c r="D32" s="3"/>
      <c r="E32" s="3"/>
    </row>
    <row r="33" spans="1:5" ht="64.5" customHeight="1" x14ac:dyDescent="0.25">
      <c r="A33" s="1">
        <v>14</v>
      </c>
      <c r="B33" s="172" t="s">
        <v>19</v>
      </c>
      <c r="C33" s="172"/>
      <c r="D33" s="172"/>
      <c r="E33" s="172"/>
    </row>
    <row r="34" spans="1:5" ht="14.25" customHeight="1" x14ac:dyDescent="0.25">
      <c r="B34" s="3"/>
      <c r="C34" s="3"/>
      <c r="D34" s="3"/>
      <c r="E34" s="3"/>
    </row>
    <row r="35" spans="1:5" x14ac:dyDescent="0.25">
      <c r="A35" s="1">
        <v>15</v>
      </c>
      <c r="B35" s="176" t="s">
        <v>33</v>
      </c>
      <c r="C35" s="176"/>
      <c r="D35" s="176"/>
      <c r="E35" s="176"/>
    </row>
    <row r="36" spans="1:5" x14ac:dyDescent="0.25">
      <c r="B36" s="16" t="s">
        <v>7</v>
      </c>
      <c r="C36" s="177" t="s">
        <v>20</v>
      </c>
      <c r="D36" s="177"/>
      <c r="E36" s="177"/>
    </row>
    <row r="37" spans="1:5" x14ac:dyDescent="0.25">
      <c r="B37" s="5" t="s">
        <v>21</v>
      </c>
      <c r="C37" s="178" t="s">
        <v>28</v>
      </c>
      <c r="D37" s="178"/>
      <c r="E37" s="178"/>
    </row>
    <row r="38" spans="1:5" x14ac:dyDescent="0.25">
      <c r="B38" s="16" t="s">
        <v>22</v>
      </c>
      <c r="C38" s="177" t="s">
        <v>29</v>
      </c>
      <c r="D38" s="177"/>
      <c r="E38" s="177"/>
    </row>
    <row r="39" spans="1:5" x14ac:dyDescent="0.25">
      <c r="B39" s="5" t="s">
        <v>23</v>
      </c>
      <c r="C39" s="178" t="s">
        <v>32</v>
      </c>
      <c r="D39" s="178"/>
      <c r="E39" s="178"/>
    </row>
    <row r="40" spans="1:5" x14ac:dyDescent="0.25">
      <c r="B40" s="16" t="s">
        <v>9</v>
      </c>
      <c r="C40" s="177" t="s">
        <v>30</v>
      </c>
      <c r="D40" s="177"/>
      <c r="E40" s="177"/>
    </row>
    <row r="41" spans="1:5" x14ac:dyDescent="0.25">
      <c r="B41" s="5" t="s">
        <v>8</v>
      </c>
      <c r="C41" s="178" t="s">
        <v>24</v>
      </c>
      <c r="D41" s="178"/>
      <c r="E41" s="178"/>
    </row>
    <row r="42" spans="1:5" x14ac:dyDescent="0.25">
      <c r="B42" s="16" t="s">
        <v>25</v>
      </c>
      <c r="C42" s="177" t="s">
        <v>26</v>
      </c>
      <c r="D42" s="177"/>
      <c r="E42" s="177"/>
    </row>
    <row r="43" spans="1:5" x14ac:dyDescent="0.25">
      <c r="B43" s="5" t="s">
        <v>27</v>
      </c>
      <c r="C43" s="178" t="s">
        <v>31</v>
      </c>
      <c r="D43" s="178"/>
      <c r="E43" s="178"/>
    </row>
    <row r="44" spans="1:5" s="17" customFormat="1" x14ac:dyDescent="0.25">
      <c r="A44" s="18"/>
      <c r="B44" s="20"/>
      <c r="C44" s="21"/>
      <c r="D44" s="21"/>
      <c r="E44" s="21"/>
    </row>
    <row r="45" spans="1:5" s="17" customFormat="1" x14ac:dyDescent="0.25">
      <c r="A45" s="18">
        <v>16</v>
      </c>
      <c r="B45" s="24" t="s">
        <v>63</v>
      </c>
      <c r="C45" s="21"/>
      <c r="D45" s="21"/>
      <c r="E45" s="21"/>
    </row>
    <row r="46" spans="1:5" s="17" customFormat="1" ht="30" customHeight="1" x14ac:dyDescent="0.25">
      <c r="A46" s="18"/>
      <c r="B46" s="16" t="s">
        <v>48</v>
      </c>
      <c r="C46" s="177" t="s">
        <v>65</v>
      </c>
      <c r="D46" s="177"/>
      <c r="E46" s="177"/>
    </row>
    <row r="47" spans="1:5" s="17" customFormat="1" x14ac:dyDescent="0.25">
      <c r="A47" s="18"/>
      <c r="B47" s="20" t="s">
        <v>49</v>
      </c>
      <c r="C47" s="178" t="s">
        <v>64</v>
      </c>
      <c r="D47" s="178"/>
      <c r="E47" s="178"/>
    </row>
    <row r="48" spans="1:5" s="17" customFormat="1" ht="48.75" customHeight="1" x14ac:dyDescent="0.25">
      <c r="A48" s="18"/>
      <c r="B48" s="16" t="s">
        <v>50</v>
      </c>
      <c r="C48" s="177" t="s">
        <v>67</v>
      </c>
      <c r="D48" s="177"/>
      <c r="E48" s="177"/>
    </row>
    <row r="49" spans="1:5" s="17" customFormat="1" ht="29.25" customHeight="1" x14ac:dyDescent="0.25">
      <c r="A49" s="18"/>
      <c r="B49" s="20" t="s">
        <v>51</v>
      </c>
      <c r="C49" s="178" t="s">
        <v>66</v>
      </c>
      <c r="D49" s="178"/>
      <c r="E49" s="178"/>
    </row>
    <row r="50" spans="1:5" x14ac:dyDescent="0.25">
      <c r="B50" s="5"/>
      <c r="C50" s="6"/>
      <c r="D50" s="6"/>
      <c r="E50" s="6"/>
    </row>
    <row r="51" spans="1:5" ht="94.5" customHeight="1" x14ac:dyDescent="0.25">
      <c r="A51" s="1">
        <v>17</v>
      </c>
      <c r="B51" s="175" t="s">
        <v>237</v>
      </c>
      <c r="C51" s="175"/>
      <c r="D51" s="175"/>
      <c r="E51" s="175"/>
    </row>
    <row r="53" spans="1:5" x14ac:dyDescent="0.25">
      <c r="B53" s="2"/>
    </row>
    <row r="54" spans="1:5" x14ac:dyDescent="0.25">
      <c r="A54" s="174" t="s">
        <v>34</v>
      </c>
      <c r="B54" s="174"/>
      <c r="C54" s="174"/>
      <c r="D54" s="174"/>
      <c r="E54" s="174"/>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2018-12-06T18:11:05Z</dcterms:modified>
</cp:coreProperties>
</file>