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830" windowHeight="745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Transactions'!$A$1:$AC$86</definedName>
    <definedName name="Query_from_MS_Access_Database" localSheetId="1" hidden="1">'Regional Loans and Transfers'!$A$11:$X$49</definedName>
    <definedName name="Query_from_MS_Access_Database_1" localSheetId="0" hidden="1">'Federal Funds Transactions'!$A$16:$AA$27</definedName>
    <definedName name="Query_from_MS_Access_Database_1" localSheetId="1" hidden="1">'Regional Loans and Transfers'!$A$53:$W$85</definedName>
    <definedName name="Query_from_MS_Access_Database_2" localSheetId="0" hidden="1">'Federal Funds Transactions'!$A$32:$AA$76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7" i="1" l="1"/>
  <c r="I18" i="1"/>
  <c r="I19" i="1"/>
  <c r="I20" i="1"/>
  <c r="I21" i="1"/>
  <c r="I22" i="1"/>
  <c r="I23" i="1"/>
  <c r="I24" i="1"/>
  <c r="I25" i="1"/>
  <c r="I26" i="1"/>
  <c r="I27" i="1"/>
  <c r="AB17" i="1"/>
  <c r="AB18" i="1"/>
  <c r="AB19" i="1"/>
  <c r="AB20" i="1"/>
  <c r="AB21" i="1"/>
  <c r="AB22" i="1"/>
  <c r="AB23" i="1"/>
  <c r="AB24" i="1"/>
  <c r="AB25" i="1"/>
  <c r="AB26" i="1"/>
  <c r="AB27" i="1"/>
  <c r="I33" i="1"/>
  <c r="I43" i="1"/>
  <c r="I44" i="1"/>
  <c r="I45" i="1"/>
  <c r="I46" i="1"/>
  <c r="I47" i="1"/>
  <c r="I48" i="1"/>
  <c r="I49" i="1"/>
  <c r="I52" i="1"/>
  <c r="I59" i="1"/>
  <c r="I67" i="1"/>
  <c r="I68" i="1"/>
  <c r="I57" i="1"/>
  <c r="I34" i="1"/>
  <c r="I70" i="1"/>
  <c r="I71" i="1"/>
  <c r="I72" i="1"/>
  <c r="I73" i="1"/>
  <c r="I35" i="1"/>
  <c r="I38" i="1"/>
  <c r="I63" i="1"/>
  <c r="I64" i="1"/>
  <c r="I36" i="1"/>
  <c r="I37" i="1"/>
  <c r="I65" i="1"/>
  <c r="I66" i="1"/>
  <c r="I42" i="1"/>
  <c r="I58" i="1"/>
  <c r="I39" i="1"/>
  <c r="I53" i="1"/>
  <c r="I54" i="1"/>
  <c r="I41" i="1"/>
  <c r="I74" i="1"/>
  <c r="I75" i="1"/>
  <c r="I50" i="1"/>
  <c r="I60" i="1"/>
  <c r="I61" i="1"/>
  <c r="I62" i="1"/>
  <c r="I55" i="1"/>
  <c r="I56" i="1"/>
  <c r="I40" i="1"/>
  <c r="I51" i="1"/>
  <c r="I76" i="1"/>
  <c r="I69" i="1"/>
  <c r="AB33" i="1"/>
  <c r="AB43" i="1"/>
  <c r="AB44" i="1"/>
  <c r="AB45" i="1"/>
  <c r="AB46" i="1"/>
  <c r="AB47" i="1"/>
  <c r="AB48" i="1"/>
  <c r="AB49" i="1"/>
  <c r="AB52" i="1"/>
  <c r="AB59" i="1"/>
  <c r="AB67" i="1"/>
  <c r="AB68" i="1"/>
  <c r="AB57" i="1"/>
  <c r="AB34" i="1"/>
  <c r="AB70" i="1"/>
  <c r="AB71" i="1"/>
  <c r="AB72" i="1"/>
  <c r="AB73" i="1"/>
  <c r="AB35" i="1"/>
  <c r="AB38" i="1"/>
  <c r="AB63" i="1"/>
  <c r="AB64" i="1"/>
  <c r="AB36" i="1"/>
  <c r="AB37" i="1"/>
  <c r="AB65" i="1"/>
  <c r="AB66" i="1"/>
  <c r="AB42" i="1"/>
  <c r="AB58" i="1"/>
  <c r="AB39" i="1"/>
  <c r="AB53" i="1"/>
  <c r="AB54" i="1"/>
  <c r="AB41" i="1"/>
  <c r="AB74" i="1"/>
  <c r="AB75" i="1"/>
  <c r="AB50" i="1"/>
  <c r="AB60" i="1"/>
  <c r="AB61" i="1"/>
  <c r="AB62" i="1"/>
  <c r="AB55" i="1"/>
  <c r="AB56" i="1"/>
  <c r="AB40" i="1"/>
  <c r="AB51" i="1"/>
  <c r="AB76" i="1"/>
  <c r="AB69" i="1"/>
  <c r="O4" i="1" l="1"/>
  <c r="AC4" i="1" l="1"/>
  <c r="AB84" i="1" l="1"/>
  <c r="N77" i="1"/>
  <c r="O77" i="1"/>
  <c r="P77" i="1"/>
  <c r="Q77" i="1"/>
  <c r="R77" i="1"/>
  <c r="S77" i="1"/>
  <c r="T77" i="1"/>
  <c r="U77" i="1"/>
  <c r="V77" i="1"/>
  <c r="W77" i="1"/>
  <c r="X77" i="1"/>
  <c r="Y77" i="1"/>
  <c r="Z77" i="1"/>
  <c r="AA77" i="1"/>
  <c r="N28" i="1"/>
  <c r="O28" i="1"/>
  <c r="P28" i="1"/>
  <c r="Q28" i="1"/>
  <c r="R28" i="1"/>
  <c r="S28" i="1"/>
  <c r="T28" i="1"/>
  <c r="U28" i="1"/>
  <c r="V28" i="1"/>
  <c r="W28" i="1"/>
  <c r="X28" i="1"/>
  <c r="Y28" i="1"/>
  <c r="Z28" i="1"/>
  <c r="AA28" i="1"/>
  <c r="R11" i="1"/>
  <c r="R10" i="1"/>
  <c r="R9" i="1"/>
  <c r="R8" i="1"/>
  <c r="R7" i="1"/>
  <c r="R6" i="1"/>
  <c r="AA11" i="1"/>
  <c r="AA10" i="1"/>
  <c r="AA9" i="1"/>
  <c r="AA8" i="1"/>
  <c r="AA7" i="1"/>
  <c r="AA6" i="1"/>
  <c r="X11" i="1"/>
  <c r="X10" i="1"/>
  <c r="X9" i="1"/>
  <c r="X8" i="1"/>
  <c r="X7" i="1"/>
  <c r="X6" i="1"/>
  <c r="Z11" i="1"/>
  <c r="Z10" i="1"/>
  <c r="Z9" i="1"/>
  <c r="Z8" i="1"/>
  <c r="Z7" i="1"/>
  <c r="Z6" i="1"/>
  <c r="Y11" i="1"/>
  <c r="Y10" i="1"/>
  <c r="Y9" i="1"/>
  <c r="Y8" i="1"/>
  <c r="Y7" i="1"/>
  <c r="Y6" i="1"/>
  <c r="V11" i="1"/>
  <c r="V10" i="1"/>
  <c r="V9" i="1"/>
  <c r="V8" i="1"/>
  <c r="V7" i="1"/>
  <c r="V6" i="1"/>
  <c r="U11" i="1"/>
  <c r="U10" i="1"/>
  <c r="U9" i="1"/>
  <c r="U8" i="1"/>
  <c r="U7" i="1"/>
  <c r="U6" i="1"/>
  <c r="T11" i="1"/>
  <c r="T10" i="1"/>
  <c r="T9" i="1"/>
  <c r="T8" i="1"/>
  <c r="T7" i="1"/>
  <c r="T6" i="1"/>
  <c r="S11" i="1"/>
  <c r="S10" i="1"/>
  <c r="S9" i="1"/>
  <c r="S8" i="1"/>
  <c r="S7" i="1"/>
  <c r="S6" i="1"/>
  <c r="W11" i="1"/>
  <c r="W10" i="1"/>
  <c r="W9" i="1"/>
  <c r="W8" i="1"/>
  <c r="W7" i="1"/>
  <c r="W6" i="1"/>
  <c r="Q11" i="1"/>
  <c r="Q10" i="1"/>
  <c r="Q9" i="1"/>
  <c r="Q8" i="1"/>
  <c r="Q7" i="1"/>
  <c r="Q6" i="1"/>
  <c r="P11" i="1"/>
  <c r="P10" i="1"/>
  <c r="P9" i="1"/>
  <c r="P8" i="1"/>
  <c r="P7" i="1"/>
  <c r="P6" i="1"/>
  <c r="N11" i="1"/>
  <c r="N10" i="1"/>
  <c r="N9" i="1"/>
  <c r="N8" i="1"/>
  <c r="N7" i="1"/>
  <c r="N6" i="1"/>
  <c r="Z79" i="1" l="1"/>
  <c r="V79" i="1"/>
  <c r="R79" i="1"/>
  <c r="X79" i="1"/>
  <c r="T79" i="1"/>
  <c r="P79" i="1"/>
  <c r="AA79" i="1"/>
  <c r="W79" i="1"/>
  <c r="S79" i="1"/>
  <c r="O79" i="1"/>
  <c r="Y79" i="1"/>
  <c r="U79" i="1"/>
  <c r="Q79" i="1"/>
  <c r="AB77" i="1"/>
  <c r="AB28" i="1"/>
  <c r="N13" i="1"/>
  <c r="N29" i="1" s="1"/>
  <c r="AC11" i="1" l="1"/>
  <c r="AC10" i="1"/>
  <c r="AC9" i="1"/>
  <c r="AC8" i="1"/>
  <c r="AC7" i="1"/>
  <c r="AC6" i="1"/>
  <c r="B5" i="3" l="1"/>
  <c r="N85" i="1" l="1"/>
  <c r="O11" i="1"/>
  <c r="O10" i="1"/>
  <c r="O9" i="1"/>
  <c r="O8" i="1"/>
  <c r="O7" i="1"/>
  <c r="O6" i="1"/>
  <c r="AB6" i="1" s="1"/>
  <c r="P13" i="1" l="1"/>
  <c r="P29" i="1" s="1"/>
  <c r="P78" i="1" s="1"/>
  <c r="R13" i="1"/>
  <c r="R29" i="1" s="1"/>
  <c r="R78" i="1" s="1"/>
  <c r="Z13" i="1"/>
  <c r="Z29" i="1" s="1"/>
  <c r="Z78" i="1" s="1"/>
  <c r="Z83" i="1" s="1"/>
  <c r="Z86" i="1" s="1"/>
  <c r="X13" i="1"/>
  <c r="X29" i="1" s="1"/>
  <c r="X78" i="1" s="1"/>
  <c r="V13" i="1"/>
  <c r="V29" i="1" s="1"/>
  <c r="V78" i="1" s="1"/>
  <c r="T13" i="1"/>
  <c r="T29" i="1" s="1"/>
  <c r="T78" i="1" s="1"/>
  <c r="Q13" i="1"/>
  <c r="Q29" i="1" s="1"/>
  <c r="Q78" i="1" s="1"/>
  <c r="AA13" i="1"/>
  <c r="AA29" i="1" s="1"/>
  <c r="AA78" i="1" s="1"/>
  <c r="Y13" i="1"/>
  <c r="Y29" i="1" s="1"/>
  <c r="Y78" i="1" s="1"/>
  <c r="Y83" i="1" s="1"/>
  <c r="Y85" i="1" s="1"/>
  <c r="W13" i="1"/>
  <c r="W29" i="1" s="1"/>
  <c r="W78" i="1" s="1"/>
  <c r="U13" i="1"/>
  <c r="U29" i="1" s="1"/>
  <c r="U78" i="1" s="1"/>
  <c r="U83" i="1" s="1"/>
  <c r="U85" i="1" s="1"/>
  <c r="AA83" i="1" l="1"/>
  <c r="AA85" i="1" s="1"/>
  <c r="AC84" i="1"/>
  <c r="AA86" i="1" l="1"/>
  <c r="X83" i="1"/>
  <c r="X85" i="1" s="1"/>
  <c r="W83" i="1"/>
  <c r="U86" i="1"/>
  <c r="S5" i="1"/>
  <c r="S13" i="1" s="1"/>
  <c r="S29" i="1" s="1"/>
  <c r="S78" i="1" l="1"/>
  <c r="S83" i="1" s="1"/>
  <c r="S85" i="1" s="1"/>
  <c r="W85" i="1"/>
  <c r="W86" i="1"/>
  <c r="T83" i="1"/>
  <c r="T85" i="1" s="1"/>
  <c r="X86" i="1"/>
  <c r="D95" i="3"/>
  <c r="D93" i="3"/>
  <c r="S86" i="1" l="1"/>
  <c r="T86" i="1"/>
  <c r="E99" i="3"/>
  <c r="D99" i="3" l="1"/>
  <c r="D10" i="2" l="1"/>
  <c r="D12" i="2"/>
  <c r="D11" i="2" l="1"/>
  <c r="D13" i="2" s="1"/>
  <c r="AB5" i="1" l="1"/>
  <c r="AC5" i="1" s="1"/>
  <c r="AB12" i="1"/>
  <c r="AB4" i="1"/>
  <c r="O13" i="1" l="1"/>
  <c r="O29" i="1" s="1"/>
  <c r="O78" i="1" s="1"/>
  <c r="Y86" i="1" l="1"/>
  <c r="N78" i="1"/>
  <c r="N86" i="1" s="1"/>
  <c r="O83" i="1" l="1"/>
  <c r="A7" i="3"/>
  <c r="O86" i="1" l="1"/>
  <c r="Q83" i="1"/>
  <c r="Q85" i="1" s="1"/>
  <c r="AB9" i="1"/>
  <c r="AB10" i="1"/>
  <c r="AB7" i="1"/>
  <c r="AB11" i="1"/>
  <c r="AC13" i="1"/>
  <c r="AC17" i="1" s="1"/>
  <c r="AC18" i="1" s="1"/>
  <c r="AC19" i="1" s="1"/>
  <c r="AC20" i="1" s="1"/>
  <c r="AC21" i="1" s="1"/>
  <c r="AC22" i="1" s="1"/>
  <c r="AC23" i="1" s="1"/>
  <c r="AC24" i="1" s="1"/>
  <c r="AC25" i="1" s="1"/>
  <c r="AC26" i="1" s="1"/>
  <c r="AC27" i="1" s="1"/>
  <c r="AC33" i="1" s="1"/>
  <c r="AB8" i="1"/>
  <c r="AB13" i="1" l="1"/>
  <c r="Q86" i="1"/>
  <c r="P83" i="1"/>
  <c r="R83" i="1"/>
  <c r="R85" i="1" s="1"/>
  <c r="V83" i="1"/>
  <c r="V86" i="1" s="1"/>
  <c r="P85" i="1" l="1"/>
  <c r="AB85" i="1" s="1"/>
  <c r="AB83" i="1"/>
  <c r="AB29" i="1"/>
  <c r="AB78" i="1" s="1"/>
  <c r="P86" i="1"/>
  <c r="R86" i="1"/>
  <c r="A1" i="3"/>
  <c r="AB86" i="1" l="1"/>
  <c r="AC34" i="1" l="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8" i="1" s="1"/>
  <c r="AC69" i="1" s="1"/>
  <c r="AC70" i="1" s="1"/>
  <c r="AC71" i="1" s="1"/>
  <c r="AC72" i="1" s="1"/>
  <c r="AC73" i="1" s="1"/>
  <c r="AC74" i="1" s="1"/>
  <c r="AC75" i="1" s="1"/>
  <c r="AC76" i="1" s="1"/>
  <c r="AC83" i="1" s="1"/>
  <c r="AC85" i="1" s="1"/>
</calcChain>
</file>

<file path=xl/comments1.xml><?xml version="1.0" encoding="utf-8"?>
<comments xmlns="http://schemas.openxmlformats.org/spreadsheetml/2006/main">
  <authors>
    <author>Patrick Stone</author>
  </authors>
  <commentList>
    <comment ref="AC4" authorId="0">
      <text>
        <r>
          <rPr>
            <b/>
            <sz val="9"/>
            <color indexed="81"/>
            <rFont val="Tahoma"/>
            <family val="2"/>
          </rPr>
          <t>Patrick Stone:</t>
        </r>
        <r>
          <rPr>
            <sz val="9"/>
            <color indexed="81"/>
            <rFont val="Tahoma"/>
            <family val="2"/>
          </rPr>
          <t xml:space="preserve">
Reduced by $3,341,620 to cover FY17 CMAQ project not listed on ledger</t>
        </r>
      </text>
    </comment>
  </commentList>
</comments>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gt;=#10/1/2018# AND `04-MAG LEDGER`.`Finance Authorization`&lt;=#9/30/2019#)_x000d__x000a_ORDER BY `04-M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4-MAGqryLedgerApportsCrosstab`.`Transaction Year`, `04-MAGqryLedgerApportsCrosstab`.`Transaction Type`, `04-MAGqryLedgerApportsCrosstab`.Number, `04-MAGqryLedgerApportsCrosstab`.`From`, `04-MAGqryLedgerApportsCrosstab`.To, `04-MAGqryLedgerApportsCrosstab`.`Repayment Year`, `04-MAGqryLedgerApportsCrosstab`.Project8, `04-MAGqryLedgerApportsCrosstab`.Notes, `04-MAGqryLedgerApportsCrosstab`.Total, `04-MAGqryLedgerApportsCrosstab`.CMAQ, `04-MAGqryLedgerApportsCrosstab`.`CMAQ 25`, `04-MAGqryLedgerApportsCrosstab`.`HURF Exchange`, `04-MAGqryLedgerApportsCrosstab`.HSIP, `04-MAGqryLedgerApportsCrosstab`.PLAN, `04-MAGqryLedgerApportsCrosstab`.SPR, `04-MAGqryLedgerApportsCrosstab`.`STP &lt;5`, `04-MAGqryLedgerApportsCrosstab`.`STP 5-2`, `04-MAGqryLedgerApportsCrosstab`.`STP &gt;200`, `04-MAGqryLedgerApportsCrosstab`.`STP Flex`, `04-MAGqryLedgerApportsCrosstab`.`TAP &lt;5`, `04-MAGqryLedgerApportsCrosstab`.`TAP 5-2`, `04-MAGqryLedgerApportsCrosstab`.`TAP &gt;200`, `04-MAGqryLedgerApportsCrosstab`.`TAP Flex`_x000d__x000a_FROM `G:\FMS\RESOURCE\ACCESS\010614 PBPF\011614 PBPF front.accdb`.`04-MAGqryLedgerApportsCrosstab` `04-MAGqryLedgerApportsCrosstab`_x000d__x000a_WHERE (`04-M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4-MAGqryLedgerOACrosstab`.`Transaction Year`, `04-MAGqryLedgerOACrosstab`.`Transaction Type`, `04-MAGqryLedgerOACrosstab`.Number, `04-MAGqryLedgerOACrosstab`.`From`, `04-MAGqryLedgerOACrosstab`.To, `04-MAGqryLedgerOACrosstab`.`Repayment Year`, `04-MAGqryLedgerOACrosstab`.Project8, `04-MAGqryLedgerOACrosstab`.Notes, `04-MAGqryLedgerOACrosstab`.Total, `04-MAGqryLedgerOACrosstab`.CMAQ, `04-MAGqryLedgerOACrosstab`.`CMAQ 25`, `04-MAGqryLedgerOACrosstab`.`HURF Exchange`, `04-MAGqryLedgerOACrosstab`.HSIP, `04-MAGqryLedgerOACrosstab`.PLAN, `04-MAGqryLedgerOACrosstab`.SPR, `04-MAGqryLedgerOACrosstab`.`STP &lt;5`, `04-MAGqryLedgerOACrosstab`.`STP 5-2`, `04-MAGqryLedgerOACrosstab`.`STP &gt;200`, `04-MAGqryLedgerOACrosstab`.`STP Flex`, `04-MAGqryLedgerOACrosstab`.`TAP &lt;5`, `04-MAGqryLedgerOACrosstab`.`TAP 5-2`, `04-MAGqryLedgerOACrosstab`.`TAP &gt;200`, `04-MAGqryLedgerOACrosstab`.`TAP Flex`_x000d__x000a_FROM `G:\FMS\RESOURCE\ACCESS\010614 PBPF\011614 PBPF front.accdb`.`04-MAGqryLedgerOACrosstab` `04-MAGqryLedgerOACrosstab`_x000d__x000a_WHERE (`04-M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 Is Null) AND (`04-MAG LEDGER`.`Action/15` Not Like 'Reduce AC') AND ((`04-MAG LEDGER`.`PB Expected`&gt;=#10/1/2018# and `PB Expected`&lt;=#9/30/2019#) OR (`04-MAG LEDGER`.`PB Received`&gt;=#10/1/2018# and `PB Received`&lt;=#9/30/2019#) OR (`04-MAG LEDGER`.`PF Transmitted`&gt;=#10/1/2018# and `PF Transmitted`&lt;=#9/30/2019#))_x000d__x000a_ORDER BY `04-MAG LEDGER`.`ADOT#`"/>
  </connection>
</connections>
</file>

<file path=xl/sharedStrings.xml><?xml version="1.0" encoding="utf-8"?>
<sst xmlns="http://schemas.openxmlformats.org/spreadsheetml/2006/main" count="1206" uniqueCount="434">
  <si>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</si>
  <si>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</si>
  <si>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</si>
  <si>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</si>
  <si>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</si>
  <si>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</si>
  <si>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</si>
  <si>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</si>
  <si>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</si>
  <si>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</si>
  <si>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</si>
  <si>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</si>
  <si>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</si>
  <si>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</si>
  <si>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</si>
  <si>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</si>
  <si>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</si>
  <si>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</si>
  <si>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</si>
  <si>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</si>
  <si>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</si>
  <si>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</si>
  <si>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</si>
  <si>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</si>
  <si>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</si>
  <si>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</si>
  <si>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</si>
  <si>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</si>
  <si>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</si>
  <si>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</si>
  <si>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</si>
  <si>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</si>
  <si>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</si>
  <si>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</si>
  <si>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</si>
  <si>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</si>
  <si>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</si>
  <si>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</si>
  <si>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</si>
  <si>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</si>
  <si>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</si>
  <si>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</si>
  <si>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</si>
  <si>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</si>
  <si>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</si>
  <si>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</si>
  <si>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Transaction Year</t>
  </si>
  <si>
    <t>Transaction Type</t>
  </si>
  <si>
    <t>Repayment Year</t>
  </si>
  <si>
    <t>MAG</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</si>
  <si>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</si>
  <si>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</si>
  <si>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</si>
  <si>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</si>
  <si>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</si>
  <si>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</si>
  <si>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</si>
  <si>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</si>
  <si>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</si>
  <si>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</si>
  <si>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</si>
  <si>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</si>
  <si>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</si>
  <si>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</si>
  <si>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</si>
  <si>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</si>
  <si>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</si>
  <si>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</si>
  <si>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</si>
  <si>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</si>
  <si>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</si>
  <si>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</si>
  <si>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</si>
  <si>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</si>
  <si>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</si>
  <si>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</si>
  <si>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</si>
  <si>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</si>
  <si>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</si>
  <si>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</si>
  <si>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</si>
  <si>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</si>
  <si>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</si>
  <si>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</si>
  <si>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</si>
  <si>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</si>
  <si>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</si>
  <si>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</si>
  <si>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</si>
  <si>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</si>
  <si>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</si>
  <si>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</si>
  <si>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</si>
  <si>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From</t>
  </si>
  <si>
    <t>To</t>
  </si>
  <si>
    <t>Project8</t>
  </si>
  <si>
    <t>Notes</t>
  </si>
  <si>
    <t>DECLINING BALANCE OA</t>
  </si>
  <si>
    <t>Maricopa Association of Goverments</t>
  </si>
  <si>
    <t>STP OVER 200K</t>
  </si>
  <si>
    <t>TA OVER 200K</t>
  </si>
  <si>
    <t>0</t>
  </si>
  <si>
    <t>ADOT</t>
  </si>
  <si>
    <t>Loan In</t>
  </si>
  <si>
    <t>2013</t>
  </si>
  <si>
    <t>MAG005</t>
  </si>
  <si>
    <t>2014</t>
  </si>
  <si>
    <t>2013 ADOT LOAN OF SPR FUNDS TO MAG</t>
  </si>
  <si>
    <t>SEAGO001</t>
  </si>
  <si>
    <t>SEAGO</t>
  </si>
  <si>
    <t>2013 STP Loan from SEAGO</t>
  </si>
  <si>
    <t>CAG-T001</t>
  </si>
  <si>
    <t>CAG</t>
  </si>
  <si>
    <t>None</t>
  </si>
  <si>
    <t>STP Transfer from CAG for Maricopa Casa Grande Hwy MAR 12-01C</t>
  </si>
  <si>
    <t>MAG001</t>
  </si>
  <si>
    <t>SS917</t>
  </si>
  <si>
    <t>2013 HSIP ADOT TRANSFER TO MAG</t>
  </si>
  <si>
    <t>MAG002</t>
  </si>
  <si>
    <t>SH535</t>
  </si>
  <si>
    <t>MAG003</t>
  </si>
  <si>
    <t>SH536</t>
  </si>
  <si>
    <t>MAG004</t>
  </si>
  <si>
    <t>SH538</t>
  </si>
  <si>
    <t>2014 REPAYMENT OF SPR FUNDS TO ADOT</t>
  </si>
  <si>
    <t>2015</t>
  </si>
  <si>
    <t>STP Loan repayment to SEAGO</t>
  </si>
  <si>
    <t>NACOG14-L001</t>
  </si>
  <si>
    <t>NACOG</t>
  </si>
  <si>
    <t>2016-2019</t>
  </si>
  <si>
    <t>FY 14 LOAN FROM NACOG TO MAG</t>
  </si>
  <si>
    <t>2016</t>
  </si>
  <si>
    <t>2017</t>
  </si>
  <si>
    <t>2018</t>
  </si>
  <si>
    <t>2019</t>
  </si>
  <si>
    <t>GANS DEBT SERVICE</t>
  </si>
  <si>
    <t>PROJECT 8</t>
  </si>
  <si>
    <t>GAN YEAR</t>
  </si>
  <si>
    <t>FUNDING TYPE</t>
  </si>
  <si>
    <t>OA Amount</t>
  </si>
  <si>
    <t>H538101X</t>
  </si>
  <si>
    <t>N/A</t>
  </si>
  <si>
    <t>H591101X</t>
  </si>
  <si>
    <t>H591201X</t>
  </si>
  <si>
    <t>URBAN STP</t>
  </si>
  <si>
    <t xml:space="preserve"> APPORTIONMENT_AMOUNT </t>
  </si>
  <si>
    <r>
      <rPr>
        <b/>
        <sz val="9"/>
        <color rgb="FFFF0000"/>
        <rFont val="Arial Unicode MS"/>
        <family val="2"/>
      </rPr>
      <t xml:space="preserve">IMPORTANT! </t>
    </r>
    <r>
      <rPr>
        <sz val="9"/>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</si>
  <si>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</si>
  <si>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r>
      <rPr>
        <b/>
        <sz val="11"/>
        <color rgb="FFFF0000"/>
        <rFont val="Arial Unicode MS"/>
        <family val="2"/>
      </rPr>
      <t xml:space="preserve">DRAFT </t>
    </r>
    <r>
      <rPr>
        <sz val="11"/>
        <color theme="1"/>
        <rFont val="Arial Unicode MS"/>
        <family val="2"/>
      </rPr>
      <t>Data as of:</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</si>
  <si>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</si>
  <si>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</si>
  <si>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MAG-LP01</t>
  </si>
  <si>
    <t>MAG LAPSING FUNDS - FFY14</t>
  </si>
  <si>
    <t>Loan Out</t>
  </si>
  <si>
    <t>MAG-L001</t>
  </si>
  <si>
    <t>MAG OA LOAN TO ADOT - FFY14</t>
  </si>
  <si>
    <t>Repayment In</t>
  </si>
  <si>
    <t>MAG-L002</t>
  </si>
  <si>
    <t>ADOT APPORTIONMENT LOAN TO MAG - FFY 14</t>
  </si>
  <si>
    <t>DEBT SERVICE BILLING (INTEREST) 01/2016</t>
  </si>
  <si>
    <t>DEBT SERVICE BILLING (INTEREST) 07/2016</t>
  </si>
  <si>
    <t>DEBT SERVICE BILLING (PRINCIPAL) 07/2016</t>
  </si>
  <si>
    <t>MAG Debt Service - Est</t>
  </si>
  <si>
    <t>GLENDALE</t>
  </si>
  <si>
    <t>GLN</t>
  </si>
  <si>
    <t>Current FFY
Apportionments /5 /18</t>
  </si>
  <si>
    <t>SCMPOMAG-16L1</t>
  </si>
  <si>
    <t>SUNMPO</t>
  </si>
  <si>
    <t>SCMPO STP Loan to MAG</t>
  </si>
  <si>
    <t>SVMPOMAG-16L1</t>
  </si>
  <si>
    <t>SVMPO</t>
  </si>
  <si>
    <t>SVMPO HSIP/STP Loan to MAG</t>
  </si>
  <si>
    <t>Transfer Out</t>
  </si>
  <si>
    <t>MAG16-T001</t>
  </si>
  <si>
    <t>H882701C</t>
  </si>
  <si>
    <t>MAG Urban STP Transfer to ADOT</t>
  </si>
  <si>
    <t>PINAL CO-MAG</t>
  </si>
  <si>
    <t>PPN</t>
  </si>
  <si>
    <t>CHANDLER</t>
  </si>
  <si>
    <t>CHN</t>
  </si>
  <si>
    <t>TBD</t>
  </si>
  <si>
    <t>MARICOPA</t>
  </si>
  <si>
    <t>MAR</t>
  </si>
  <si>
    <t>MESA</t>
  </si>
  <si>
    <t>MES</t>
  </si>
  <si>
    <t xml:space="preserve">MARICOPA COUNTY               </t>
  </si>
  <si>
    <t>MMA</t>
  </si>
  <si>
    <t>PHOENIX</t>
  </si>
  <si>
    <t>PHX</t>
  </si>
  <si>
    <t>SCOTTSDALE</t>
  </si>
  <si>
    <t>SCT</t>
  </si>
  <si>
    <t>239</t>
  </si>
  <si>
    <t>217</t>
  </si>
  <si>
    <t>204</t>
  </si>
  <si>
    <t>TEMPE</t>
  </si>
  <si>
    <t>TMP</t>
  </si>
  <si>
    <t>AVONDALE</t>
  </si>
  <si>
    <t>AVN</t>
  </si>
  <si>
    <t>REGIONAL RIDESHARE AND TELEWORK PROGRAM</t>
  </si>
  <si>
    <t>999</t>
  </si>
  <si>
    <t>A</t>
  </si>
  <si>
    <t>David Crockett Elementary, Encanto Elementary, Clarendon Elementary, Montebello Elementary</t>
  </si>
  <si>
    <t>Trumbleweed Elementary, Maryland Elementary, Lowell School, Moon Mountain Elementary</t>
  </si>
  <si>
    <t>SURPRISE</t>
  </si>
  <si>
    <t>SUR</t>
  </si>
  <si>
    <t>SCMPOMAG-17L1</t>
  </si>
  <si>
    <t>SVMPOMAG-17L1</t>
  </si>
  <si>
    <t>SVMPO STP Loan to MAG</t>
  </si>
  <si>
    <t>SVMPOMAG-17L2</t>
  </si>
  <si>
    <t>SVMPO HSIP Loan to MAG</t>
  </si>
  <si>
    <t>MAGSCMPO-17T1</t>
  </si>
  <si>
    <t>Regional Safety Plan</t>
  </si>
  <si>
    <t>MAG HSIP Transfer to SCMPO</t>
  </si>
  <si>
    <t>MAGADOT-16L1</t>
  </si>
  <si>
    <t>T0009/SH634/SH607</t>
  </si>
  <si>
    <t>MAG HSIP Apportionment Loan to ADOT</t>
  </si>
  <si>
    <t>SH531</t>
  </si>
  <si>
    <t>Sub-allocated Bicycle and Pedestrian Master Plans and First Time Updates (Unified Planning Work Program)</t>
  </si>
  <si>
    <t>215</t>
  </si>
  <si>
    <t>2018/20</t>
  </si>
  <si>
    <t>2020</t>
  </si>
  <si>
    <t>STP &lt;5</t>
  </si>
  <si>
    <t>STP 5-2</t>
  </si>
  <si>
    <t>TAP &lt;5</t>
  </si>
  <si>
    <t>TAP 5-2</t>
  </si>
  <si>
    <t>Fed #</t>
  </si>
  <si>
    <t>FY18T1-CAGMAG</t>
  </si>
  <si>
    <t>CAG HSIP/STBGP Transfer to MAG</t>
  </si>
  <si>
    <t>FY18T2-MAGCAG</t>
  </si>
  <si>
    <t>ADOT-MAG REGION</t>
  </si>
  <si>
    <t>303</t>
  </si>
  <si>
    <t>225</t>
  </si>
  <si>
    <t>SCT18-701</t>
  </si>
  <si>
    <t>208</t>
  </si>
  <si>
    <t>242</t>
  </si>
  <si>
    <t>232</t>
  </si>
  <si>
    <t>TAP Flex</t>
  </si>
  <si>
    <t>Federal Fiscal Year 2018</t>
  </si>
  <si>
    <t>Planned Lapsing - 06/30/18</t>
  </si>
  <si>
    <t>Lapsed - 07/01/18</t>
  </si>
  <si>
    <t>Planned Lapsing - 09/30/18</t>
  </si>
  <si>
    <t>Carry Forward to FFY 19</t>
  </si>
  <si>
    <t>State FY 18 Approved work program amount</t>
  </si>
  <si>
    <t>State FY 18 amount authorized prior to 09/30/17 or Lapsed funding</t>
  </si>
  <si>
    <t xml:space="preserve">State FY 18 amount available for authorization 10/01/17 - 06/30/18 </t>
  </si>
  <si>
    <t>State FY 19 amount avaiilable for authorization 07/1/18 - 09/30/18 (request must be submitted by 09/01/18)</t>
  </si>
  <si>
    <t>Total SPR apportionments for Federal Fiscal Year 18 (as shown on ledger)</t>
  </si>
  <si>
    <t>The  OA to apportionments for FFY 18 is 94.9%.  The rate for calculations is 0.949.</t>
  </si>
  <si>
    <t>CMAQ 25</t>
  </si>
  <si>
    <t>PLAN</t>
  </si>
  <si>
    <t>STP &gt;200</t>
  </si>
  <si>
    <t>STP Flex</t>
  </si>
  <si>
    <t>TAP &gt;200</t>
  </si>
  <si>
    <t>T016101X</t>
  </si>
  <si>
    <t>T016201X</t>
  </si>
  <si>
    <t>MAG CMAQ TO FTA</t>
  </si>
  <si>
    <t>P</t>
  </si>
  <si>
    <t>STP 5-200</t>
  </si>
  <si>
    <t>TAP 5-200</t>
  </si>
  <si>
    <t>HURF Exchange</t>
  </si>
  <si>
    <t>TAP &gt;201</t>
  </si>
  <si>
    <t>HURF EX</t>
  </si>
  <si>
    <t>STP Other</t>
  </si>
  <si>
    <t>GILBERT</t>
  </si>
  <si>
    <t>GIL</t>
  </si>
  <si>
    <t>Per the adopted MAG Regional Transportation Plan of November 25, 2003, $149m of CMAQ funding is intended to be used on Freeways. This represents 19% of the planned CMAQ funding.</t>
  </si>
  <si>
    <t>278</t>
  </si>
  <si>
    <t>277</t>
  </si>
  <si>
    <t>216</t>
  </si>
  <si>
    <t>250</t>
  </si>
  <si>
    <t>SVMPOMAG-18L1</t>
  </si>
  <si>
    <t>SZ04601C</t>
  </si>
  <si>
    <t>NORTHERN PKWY: DYSART RD TO 111TH AVE</t>
  </si>
  <si>
    <t>CITYWIDE - SRTS COORDINATOR</t>
  </si>
  <si>
    <t>MMA15-113CX / 113C2X / 19-113CZ / 25-113CRB</t>
  </si>
  <si>
    <t>PMG1902P</t>
  </si>
  <si>
    <t>MAG 2019 WP - PL</t>
  </si>
  <si>
    <t>019</t>
  </si>
  <si>
    <t>AVN19-702</t>
  </si>
  <si>
    <t>Rio Vista Elementary, Corte Sierra Elementary, Avondale Middle, Lattie Coor Elementary, Elice C. Felix Elementary</t>
  </si>
  <si>
    <t>F000601C</t>
  </si>
  <si>
    <t>ADOT# 43219 / MAG# DOT19-703</t>
  </si>
  <si>
    <t>SR303L; NORTHERN AVE - CLEARVIEW BLVD</t>
  </si>
  <si>
    <t>226</t>
  </si>
  <si>
    <t>F001301C</t>
  </si>
  <si>
    <t>ADOT# 43319 / MAG# DOT19-702</t>
  </si>
  <si>
    <t>SR303L; LAKE PLEASANT RD - I-17</t>
  </si>
  <si>
    <t>MAG19-701</t>
  </si>
  <si>
    <t>PURCHASE PM-10 CERTIFIED STREET SWEEPERS AND PROJECT IMPLEMENTATION</t>
  </si>
  <si>
    <t>MAG19-702</t>
  </si>
  <si>
    <t>MAG19-703</t>
  </si>
  <si>
    <t>TRAVEL REDUCTION PROGRAM</t>
  </si>
  <si>
    <t>MAG19-704</t>
  </si>
  <si>
    <t>TRIP REDUCTION PROGRAM</t>
  </si>
  <si>
    <t>MAG19-735</t>
  </si>
  <si>
    <t>TRANSPORTATION PLANNING AND AIR QUALITY STUDIES AND SUPPORT</t>
  </si>
  <si>
    <t>MAG19-805</t>
  </si>
  <si>
    <t>MAGFTA19</t>
  </si>
  <si>
    <t>MAG19-780</t>
  </si>
  <si>
    <t>MAR19-760</t>
  </si>
  <si>
    <t>MMA25-119RWZ</t>
  </si>
  <si>
    <t>MMA25-119RWZ/MMA18-119WZ/MMA19-119RWZ/</t>
  </si>
  <si>
    <t>NORTHERN PARKWAY: 111TH AVE TO GRAND</t>
  </si>
  <si>
    <t>PHX19-760</t>
  </si>
  <si>
    <t>PHOENIX (CITYWIDE)</t>
  </si>
  <si>
    <t>SCT19-701</t>
  </si>
  <si>
    <t>CITYWIDE</t>
  </si>
  <si>
    <t>SCT19-740</t>
  </si>
  <si>
    <t>INDIAN BEND WASH PATH AT CHAPARRAL ROAD, EAST OF HAYDEN ROAD</t>
  </si>
  <si>
    <t>SH54401C</t>
  </si>
  <si>
    <t>SOUTHERN AVE AT STAPLEY DR</t>
  </si>
  <si>
    <t>SL73801C</t>
  </si>
  <si>
    <t>AVN17-406</t>
  </si>
  <si>
    <t>VAN BUREN ST; AF RIVER - 113TH AVE</t>
  </si>
  <si>
    <t>221</t>
  </si>
  <si>
    <t>SUR19-702</t>
  </si>
  <si>
    <t>Kingswood, West Point, and Sonoran Heights Elementary</t>
  </si>
  <si>
    <t>SUR19-703</t>
  </si>
  <si>
    <t>ACA, Imagine Prep, and Imagine Rosefield Schools</t>
  </si>
  <si>
    <t>SUR19-704</t>
  </si>
  <si>
    <t>Ashton Ranch, Countryside, Parkview Elementary</t>
  </si>
  <si>
    <t>SUR19-705</t>
  </si>
  <si>
    <t>Canyon Ridge, Cimarron Springs, Sunset Hills, and Western Peaks Elementary</t>
  </si>
  <si>
    <t>SZ07801C</t>
  </si>
  <si>
    <t>AVN15-441C/AVN15-441C2</t>
  </si>
  <si>
    <t>Agua Fria Shared Use Path Connector: I-10 and the Agua Fria Channel (Phase 1)</t>
  </si>
  <si>
    <t>SZ18101C</t>
  </si>
  <si>
    <t>CHN19-135CZ</t>
  </si>
  <si>
    <t>COOPER ROAD: ALAMOSA DRIVE TO RIGGS ROAD</t>
  </si>
  <si>
    <t>T005601C</t>
  </si>
  <si>
    <t>PNL19-402</t>
  </si>
  <si>
    <t>GERMANN RD; MERIDIAN RD TO IRONWOOD DR</t>
  </si>
  <si>
    <t>214</t>
  </si>
  <si>
    <t>T005601R</t>
  </si>
  <si>
    <t>PNL18-801</t>
  </si>
  <si>
    <t>T006501C</t>
  </si>
  <si>
    <t>PNL19-701C</t>
  </si>
  <si>
    <t>BARNES RD - FUQUA RD TO STANFIELD RD</t>
  </si>
  <si>
    <t>T006701C</t>
  </si>
  <si>
    <t>PNL19-702C</t>
  </si>
  <si>
    <t>STANFIELD RD - TALLA RD TO MILLER RD</t>
  </si>
  <si>
    <t>T007001C</t>
  </si>
  <si>
    <t>GLN19-741</t>
  </si>
  <si>
    <t>PARADISE LN - 55TH AVE TO 59TH AVE</t>
  </si>
  <si>
    <t>256</t>
  </si>
  <si>
    <t>T007601C</t>
  </si>
  <si>
    <t>GLN19-760</t>
  </si>
  <si>
    <t>CAMELBACK RD - 51ST AVE TO 91ST AVE</t>
  </si>
  <si>
    <t>253</t>
  </si>
  <si>
    <t>T008101C</t>
  </si>
  <si>
    <t>PVY19-740</t>
  </si>
  <si>
    <t>PARADISE VALLEY</t>
  </si>
  <si>
    <t>Lincoln Dr - 660 feet West of Scottsdale Rd with portions to 32d Street</t>
  </si>
  <si>
    <t>PVY</t>
  </si>
  <si>
    <t>T009901R</t>
  </si>
  <si>
    <t>CHN20-113RWZ</t>
  </si>
  <si>
    <t>CHANDLER HEIGHTS ROAD: MCQUEEN ROAD TO GILBERT RD</t>
  </si>
  <si>
    <t>240</t>
  </si>
  <si>
    <t>T010501C</t>
  </si>
  <si>
    <t>MMA19-701C</t>
  </si>
  <si>
    <t>MILLER RD; TONOPAH-SALOME HWY TO VAN BUREN ST</t>
  </si>
  <si>
    <t>270</t>
  </si>
  <si>
    <t>T010801C</t>
  </si>
  <si>
    <t>MMA19-760</t>
  </si>
  <si>
    <t>MCDOT RADS EXPANSION AND ENHANCEMENTS</t>
  </si>
  <si>
    <t>273</t>
  </si>
  <si>
    <t>T011801C</t>
  </si>
  <si>
    <t>GLB19-740</t>
  </si>
  <si>
    <t>NEELY ST AND UPRR MAINLINE, 1 MI SO OF GUADALUPE</t>
  </si>
  <si>
    <t>T012001C</t>
  </si>
  <si>
    <t>TMP18-460</t>
  </si>
  <si>
    <t>TEMPE (CITYWIDE) ITS PH I</t>
  </si>
  <si>
    <t>T012101C</t>
  </si>
  <si>
    <t>TMP19-760</t>
  </si>
  <si>
    <t>TEMPE (CITYWIDE) ITS PH II</t>
  </si>
  <si>
    <t>251</t>
  </si>
  <si>
    <t>T013101C</t>
  </si>
  <si>
    <t>MAR18-701</t>
  </si>
  <si>
    <t>PORTER RD: FARRELL RD TO 1.9 MI SOUTH, FARRELL</t>
  </si>
  <si>
    <t>T014301C</t>
  </si>
  <si>
    <t>PHX19-741</t>
  </si>
  <si>
    <t>VARIOUS LOCATIONS IN PHOENIX</t>
  </si>
  <si>
    <t>347</t>
  </si>
  <si>
    <t>T014701C</t>
  </si>
  <si>
    <t>PHX19-743</t>
  </si>
  <si>
    <t>ROESER ROAD: 32ND STREET TO 550 FT. EAST OF 36TH STREET (@ THE SAN FRANCISCO CANAL)</t>
  </si>
  <si>
    <t>348</t>
  </si>
  <si>
    <t>T015101C</t>
  </si>
  <si>
    <t>PHX19-701C</t>
  </si>
  <si>
    <t>VARIOUS ALLEYS IN PHOENIX</t>
  </si>
  <si>
    <t>350</t>
  </si>
  <si>
    <t>T016601C</t>
  </si>
  <si>
    <t>CHN19-760</t>
  </si>
  <si>
    <t>BICYCLE DETECTION SYSTEM-CITYWIDE -40 SIGNALIZED INTERSECTIONS ALONG CHANDLER BLVD AND RAY RD</t>
  </si>
  <si>
    <t>T019501C</t>
  </si>
  <si>
    <t>TMP19-740</t>
  </si>
  <si>
    <t>ALAMEDA DRIVE: 48TH STREET TO RURAL ROAD</t>
  </si>
  <si>
    <t>T019701X</t>
  </si>
  <si>
    <t>T006201C</t>
  </si>
  <si>
    <t>BKY17-401</t>
  </si>
  <si>
    <t>BUCKEYE</t>
  </si>
  <si>
    <t>LOWER BUCKEYE RD; WATSON TO 228TH AVE</t>
  </si>
  <si>
    <t>BKY</t>
  </si>
  <si>
    <t>213</t>
  </si>
  <si>
    <t>T006201D</t>
  </si>
  <si>
    <t>BKY17-401D</t>
  </si>
  <si>
    <t>LOWER BUCKEYE RD - WATSON TO 228TH AVE</t>
  </si>
  <si>
    <t>T018901C</t>
  </si>
  <si>
    <t>Honeycutt Fiber Optic Comm ITS Project-6 Signals</t>
  </si>
  <si>
    <t>PMG1901P</t>
  </si>
  <si>
    <t>MAG 2019 WP - SPR</t>
  </si>
  <si>
    <t>S</t>
  </si>
  <si>
    <t>T012601X</t>
  </si>
  <si>
    <t>PHX17-471</t>
  </si>
  <si>
    <t>CREIGHTON ELEMENTARY</t>
  </si>
  <si>
    <t>339</t>
  </si>
  <si>
    <t>T009801X</t>
  </si>
  <si>
    <t>PHX17-470</t>
  </si>
  <si>
    <t>CREIGHTON SCHOOL DISTRICT/BILTMORE PREPARATORY</t>
  </si>
  <si>
    <t>336</t>
  </si>
  <si>
    <t>T003101C</t>
  </si>
  <si>
    <t>GLN18-401 / 401C2</t>
  </si>
  <si>
    <t>CITYWIDE VARIOUS LOCATIONS - FLASHING YELLOW ARROWS</t>
  </si>
  <si>
    <t>252</t>
  </si>
  <si>
    <t>SZ12101C</t>
  </si>
  <si>
    <t>MES 15-461</t>
  </si>
  <si>
    <t>CITY OF MESA (CITYWIDE), RADIO UPGRADE</t>
  </si>
  <si>
    <t>228</t>
  </si>
  <si>
    <t>SS88103D</t>
  </si>
  <si>
    <t>MMA13-105PDZ</t>
  </si>
  <si>
    <t>MCKELLIPS RD SR 101 - ALMA SCHL</t>
  </si>
  <si>
    <t>MES20-150CRB/CZ 21-150SAVZ</t>
  </si>
  <si>
    <t>MMA18-701 / 19-702</t>
  </si>
  <si>
    <t>MMA18-702 / 19-703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</si>
</sst>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quot;$&quot;#,##0.00"/>
    <numFmt numFmtId="165" formatCode="mm/dd/yy;@"/>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name val="Arial Unicode MS"/>
      <family val="2"/>
    </font>
    <font>
      <sz val="9"/>
      <color theme="1"/>
      <name val="Arial Unicode MS"/>
      <family val="2"/>
    </font>
    <font>
      <b/>
      <sz val="10"/>
      <color theme="1"/>
      <name val="Arial Unicode MS"/>
      <family val="2"/>
    </font>
    <font>
      <sz val="10"/>
      <color theme="1"/>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b/>
      <sz val="14"/>
      <name val="Calibri"/>
      <family val="2"/>
      <scheme val="minor"/>
    </font>
    <font>
      <sz val="12"/>
      <name val="Times New Roman"/>
      <family val="1"/>
    </font>
    <font>
      <sz val="8"/>
      <name val="Arial"/>
      <family val="2"/>
    </font>
    <font>
      <b/>
      <sz val="9"/>
      <color theme="0"/>
      <name val="Arial Unicode MS"/>
      <family val="2"/>
    </font>
    <font>
      <sz val="9"/>
      <color rgb="FFFF0000"/>
      <name val="Arial Unicode MS"/>
      <family val="2"/>
    </font>
    <font>
      <b/>
      <sz val="9"/>
      <color rgb="FFFF0000"/>
      <name val="Arial Unicode MS"/>
      <family val="2"/>
    </font>
    <font>
      <b/>
      <sz val="11"/>
      <color rgb="FFFF0000"/>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10"/>
      <color theme="0"/>
      <name val="Arial Unicode MS"/>
      <family val="2"/>
    </font>
    <font>
      <sz val="9"/>
      <color indexed="81"/>
      <name val="Tahoma"/>
      <family val="2"/>
    </font>
    <font>
      <b/>
      <sz val="9"/>
      <color indexed="81"/>
      <name val="Tahoma"/>
      <family val="2"/>
    </font>
    <font>
      <sz val="9"/>
      <name val="Arial Unicode MS"/>
      <family val="2"/>
    </font>
    <font>
      <sz val="9"/>
      <color theme="1"/>
      <name val="Arial Unicode MS"/>
      <family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E4DFE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0" fontId="27" fillId="0" borderId="0"/>
    <xf numFmtId="0" fontId="28" fillId="0" borderId="0"/>
    <xf numFmtId="43" fontId="28" fillId="0" borderId="0" applyFont="0" applyFill="0" applyBorder="0" applyAlignment="0" applyProtection="0"/>
  </cellStyleXfs>
  <cellXfs count="23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9"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1" fillId="0" borderId="0" xfId="0" applyNumberFormat="1" applyFont="1" applyFill="1" applyBorder="1" applyAlignment="1">
      <alignmen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4" fillId="0" borderId="0" xfId="0" applyNumberFormat="1" applyFont="1" applyFill="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40" fontId="21" fillId="0" borderId="0" xfId="0" applyNumberFormat="1" applyFont="1" applyBorder="1" applyAlignment="1">
      <alignment horizontal="center" vertical="center" wrapText="1"/>
    </xf>
    <xf numFmtId="40" fontId="19" fillId="0" borderId="0" xfId="0" applyNumberFormat="1" applyFont="1" applyBorder="1" applyAlignment="1">
      <alignment vertical="top" wrapText="1"/>
    </xf>
    <xf numFmtId="14" fontId="0" fillId="0" borderId="0" xfId="3" applyNumberFormat="1" applyFont="1" applyAlignment="1">
      <alignment horizontal="left" vertical="center" wrapText="1"/>
    </xf>
    <xf numFmtId="40" fontId="18" fillId="0" borderId="2" xfId="1" applyNumberFormat="1" applyFont="1" applyFill="1" applyBorder="1" applyAlignment="1">
      <alignment horizontal="center" vertical="center" wrapText="1"/>
    </xf>
    <xf numFmtId="43" fontId="13" fillId="0" borderId="0" xfId="3" applyFont="1" applyBorder="1"/>
    <xf numFmtId="43" fontId="0" fillId="0" borderId="5" xfId="3" applyFont="1" applyBorder="1"/>
    <xf numFmtId="43" fontId="0" fillId="0" borderId="2" xfId="3" applyFont="1" applyBorder="1"/>
    <xf numFmtId="43" fontId="0" fillId="0" borderId="6" xfId="3" applyFont="1" applyBorder="1"/>
    <xf numFmtId="40" fontId="23" fillId="0" borderId="0" xfId="3" applyNumberFormat="1" applyFont="1" applyBorder="1" applyAlignment="1">
      <alignment horizontal="righ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2"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3" fontId="2" fillId="0" borderId="0" xfId="3" applyFont="1"/>
    <xf numFmtId="43" fontId="0" fillId="0" borderId="0" xfId="3" applyFont="1" applyAlignment="1">
      <alignment horizontal="center"/>
    </xf>
    <xf numFmtId="43" fontId="0" fillId="0" borderId="0" xfId="3" applyFont="1"/>
    <xf numFmtId="49" fontId="0" fillId="0" borderId="0" xfId="3" applyNumberFormat="1" applyFont="1"/>
    <xf numFmtId="0" fontId="21" fillId="0" borderId="0" xfId="0" applyFont="1" applyBorder="1" applyAlignment="1">
      <alignment horizontal="center" vertical="top" wrapText="1"/>
    </xf>
    <xf numFmtId="0" fontId="21" fillId="0" borderId="0" xfId="0" applyFont="1" applyFill="1" applyBorder="1" applyAlignment="1">
      <alignment horizontal="center" vertical="top" wrapText="1"/>
    </xf>
    <xf numFmtId="40" fontId="17" fillId="0" borderId="0" xfId="0" applyNumberFormat="1" applyFont="1" applyFill="1" applyBorder="1" applyAlignment="1">
      <alignment horizontal="center" vertical="top" wrapText="1"/>
    </xf>
    <xf numFmtId="14" fontId="17" fillId="0" borderId="0" xfId="0" applyNumberFormat="1" applyFont="1" applyFill="1" applyBorder="1" applyAlignment="1">
      <alignment horizontal="center" vertical="top" wrapText="1"/>
    </xf>
    <xf numFmtId="14" fontId="22" fillId="0" borderId="11" xfId="0" applyNumberFormat="1" applyFont="1" applyBorder="1" applyAlignment="1">
      <alignment horizontal="center" vertical="top" wrapText="1"/>
    </xf>
    <xf numFmtId="14" fontId="22" fillId="0" borderId="16" xfId="0" applyNumberFormat="1" applyFont="1" applyBorder="1" applyAlignment="1">
      <alignment horizontal="center" vertical="top" wrapText="1"/>
    </xf>
    <xf numFmtId="14" fontId="21" fillId="0" borderId="0" xfId="0" applyNumberFormat="1" applyFont="1" applyFill="1" applyBorder="1" applyAlignment="1">
      <alignment horizontal="center" vertical="top" wrapText="1"/>
    </xf>
    <xf numFmtId="40" fontId="21" fillId="0" borderId="0" xfId="0" applyNumberFormat="1" applyFont="1" applyFill="1" applyBorder="1" applyAlignment="1">
      <alignment horizontal="center" vertical="top" wrapText="1"/>
    </xf>
    <xf numFmtId="40" fontId="19"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14" fontId="19" fillId="0" borderId="0" xfId="0" applyNumberFormat="1" applyFont="1" applyBorder="1" applyAlignment="1">
      <alignment horizontal="center" vertical="top" wrapText="1"/>
    </xf>
    <xf numFmtId="14" fontId="19" fillId="0" borderId="0" xfId="0" applyNumberFormat="1" applyFont="1" applyFill="1" applyBorder="1" applyAlignment="1">
      <alignment horizontal="center" vertical="top" wrapText="1"/>
    </xf>
    <xf numFmtId="40" fontId="19" fillId="0" borderId="0" xfId="0" applyNumberFormat="1" applyFont="1" applyFill="1" applyBorder="1" applyAlignment="1">
      <alignment horizontal="center" vertical="top" wrapText="1"/>
    </xf>
    <xf numFmtId="14" fontId="14"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18" fillId="0" borderId="5" xfId="1" applyNumberFormat="1" applyFont="1" applyBorder="1" applyAlignment="1">
      <alignment horizontal="center" vertical="top" wrapText="1"/>
    </xf>
    <xf numFmtId="40" fontId="18" fillId="0" borderId="2" xfId="1" applyNumberFormat="1" applyFont="1" applyBorder="1" applyAlignment="1">
      <alignment horizontal="center" vertical="top" wrapText="1"/>
    </xf>
    <xf numFmtId="40" fontId="18" fillId="0" borderId="11" xfId="1" applyNumberFormat="1" applyFont="1" applyBorder="1" applyAlignment="1">
      <alignment horizontal="center" vertical="top" wrapText="1"/>
    </xf>
    <xf numFmtId="40" fontId="18" fillId="0" borderId="12" xfId="1" applyNumberFormat="1" applyFont="1" applyBorder="1" applyAlignment="1">
      <alignment horizontal="center" vertical="top" wrapText="1"/>
    </xf>
    <xf numFmtId="40" fontId="18" fillId="2" borderId="18" xfId="1" applyNumberFormat="1" applyFont="1" applyFill="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vertical="top"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40" fontId="29" fillId="0" borderId="0" xfId="0" applyNumberFormat="1" applyFont="1" applyFill="1" applyBorder="1" applyAlignment="1">
      <alignment horizontal="center" vertical="top" wrapText="1"/>
    </xf>
    <xf numFmtId="14" fontId="29" fillId="0" borderId="0" xfId="0" applyNumberFormat="1" applyFont="1" applyFill="1" applyBorder="1" applyAlignment="1">
      <alignment horizontal="center" vertical="top" wrapText="1"/>
    </xf>
    <xf numFmtId="0" fontId="22" fillId="0" borderId="0" xfId="0" applyFont="1" applyAlignment="1">
      <alignment horizontal="left" vertical="top" wrapText="1"/>
    </xf>
    <xf numFmtId="14" fontId="19" fillId="0" borderId="0" xfId="0" applyNumberFormat="1" applyFont="1" applyAlignment="1">
      <alignment horizontal="center" vertical="center" wrapText="1"/>
    </xf>
    <xf numFmtId="40" fontId="19" fillId="0" borderId="0" xfId="1" applyNumberFormat="1" applyFont="1" applyAlignment="1">
      <alignment vertical="top" wrapText="1"/>
    </xf>
    <xf numFmtId="49" fontId="19" fillId="0" borderId="0" xfId="1" applyNumberFormat="1" applyFont="1" applyAlignment="1">
      <alignment vertical="top" wrapText="1"/>
    </xf>
    <xf numFmtId="14" fontId="19" fillId="0" borderId="0" xfId="0" applyNumberFormat="1" applyFont="1" applyAlignment="1">
      <alignment horizontal="left" vertical="center" wrapText="1"/>
    </xf>
    <xf numFmtId="40" fontId="19" fillId="0" borderId="0" xfId="0" applyNumberFormat="1" applyFont="1" applyFill="1" applyBorder="1" applyAlignment="1">
      <alignment vertical="top" wrapText="1"/>
    </xf>
    <xf numFmtId="0" fontId="14" fillId="0" borderId="0" xfId="0" applyFont="1" applyAlignment="1">
      <alignment vertical="center" wrapText="1"/>
    </xf>
    <xf numFmtId="14" fontId="14" fillId="0" borderId="0" xfId="0" applyNumberFormat="1" applyFont="1" applyAlignment="1">
      <alignment vertical="center" wrapText="1"/>
    </xf>
    <xf numFmtId="43" fontId="19" fillId="0" borderId="7" xfId="3" applyFont="1" applyBorder="1"/>
    <xf numFmtId="43" fontId="19" fillId="0" borderId="1" xfId="3" applyFont="1" applyBorder="1"/>
    <xf numFmtId="43" fontId="19" fillId="0" borderId="0" xfId="3" applyFont="1" applyBorder="1"/>
    <xf numFmtId="0" fontId="19" fillId="0" borderId="0" xfId="0" applyFont="1" applyBorder="1"/>
    <xf numFmtId="43" fontId="19" fillId="0" borderId="8" xfId="3" applyFont="1" applyBorder="1"/>
    <xf numFmtId="43" fontId="19" fillId="0" borderId="3" xfId="3" applyFont="1" applyBorder="1"/>
    <xf numFmtId="43" fontId="19" fillId="0" borderId="0" xfId="3" applyFont="1"/>
    <xf numFmtId="43" fontId="13" fillId="0" borderId="0" xfId="3" applyFont="1" applyBorder="1" applyAlignment="1">
      <alignment wrapText="1"/>
    </xf>
    <xf numFmtId="0" fontId="0" fillId="0" borderId="0" xfId="0" applyBorder="1" applyAlignment="1">
      <alignment wrapText="1"/>
    </xf>
    <xf numFmtId="43" fontId="33" fillId="0" borderId="0" xfId="3" applyFont="1"/>
    <xf numFmtId="43" fontId="33" fillId="0" borderId="7" xfId="3" applyFont="1" applyBorder="1"/>
    <xf numFmtId="43" fontId="33" fillId="0" borderId="1" xfId="3" applyFont="1" applyBorder="1"/>
    <xf numFmtId="43" fontId="33" fillId="0" borderId="8" xfId="3" applyFont="1" applyBorder="1"/>
    <xf numFmtId="43" fontId="33" fillId="0" borderId="3" xfId="3" applyFont="1" applyBorder="1"/>
    <xf numFmtId="43" fontId="0" fillId="0" borderId="0" xfId="3" applyFont="1" applyAlignment="1">
      <alignment horizontal="left"/>
    </xf>
    <xf numFmtId="43" fontId="1" fillId="0" borderId="0" xfId="3" applyFont="1"/>
    <xf numFmtId="0" fontId="0" fillId="0" borderId="0" xfId="0" applyAlignment="1">
      <alignment vertical="top"/>
    </xf>
    <xf numFmtId="0" fontId="19" fillId="0" borderId="0" xfId="0" applyFont="1" applyAlignment="1">
      <alignment horizontal="left" vertical="top" wrapText="1"/>
    </xf>
    <xf numFmtId="40" fontId="35" fillId="0" borderId="0" xfId="0" applyNumberFormat="1" applyFont="1" applyAlignment="1">
      <alignment vertical="top" wrapText="1"/>
    </xf>
    <xf numFmtId="40" fontId="19" fillId="0" borderId="1" xfId="0" applyNumberFormat="1" applyFont="1" applyBorder="1" applyAlignment="1">
      <alignment horizontal="right" vertical="top" wrapText="1"/>
    </xf>
    <xf numFmtId="40" fontId="19" fillId="0" borderId="1" xfId="0" applyNumberFormat="1" applyFont="1" applyFill="1" applyBorder="1" applyAlignment="1">
      <alignment horizontal="right" vertical="top" wrapText="1"/>
    </xf>
    <xf numFmtId="40" fontId="19" fillId="0" borderId="3" xfId="0" applyNumberFormat="1" applyFont="1" applyFill="1" applyBorder="1" applyAlignment="1">
      <alignment horizontal="right" vertical="top" wrapText="1"/>
    </xf>
    <xf numFmtId="40" fontId="22" fillId="0" borderId="20" xfId="0" applyNumberFormat="1" applyFont="1" applyFill="1" applyBorder="1" applyAlignment="1">
      <alignment horizontal="right" vertical="top" wrapText="1"/>
    </xf>
    <xf numFmtId="14" fontId="19" fillId="0" borderId="0" xfId="0" applyNumberFormat="1" applyFont="1" applyFill="1" applyBorder="1" applyAlignment="1">
      <alignment horizontal="center" wrapText="1"/>
    </xf>
    <xf numFmtId="40" fontId="19" fillId="0" borderId="0" xfId="0" applyNumberFormat="1" applyFont="1" applyAlignment="1">
      <alignment horizontal="right" vertical="top" wrapText="1"/>
    </xf>
    <xf numFmtId="40" fontId="19" fillId="0" borderId="21" xfId="0" applyNumberFormat="1" applyFont="1" applyBorder="1" applyAlignment="1">
      <alignment horizontal="right" vertical="top" wrapText="1"/>
    </xf>
    <xf numFmtId="0" fontId="14" fillId="0" borderId="0" xfId="0" applyFont="1" applyAlignment="1">
      <alignment vertical="center"/>
    </xf>
    <xf numFmtId="0" fontId="0" fillId="0" borderId="0" xfId="0" applyAlignment="1">
      <alignment horizontal="left" vertical="top" wrapText="1"/>
    </xf>
    <xf numFmtId="43" fontId="36" fillId="0" borderId="0" xfId="3" applyFont="1"/>
    <xf numFmtId="43" fontId="36" fillId="0" borderId="7" xfId="3" applyFont="1" applyBorder="1"/>
    <xf numFmtId="43" fontId="36" fillId="0" borderId="8" xfId="3" applyFont="1" applyBorder="1"/>
    <xf numFmtId="43" fontId="36" fillId="0" borderId="1" xfId="3" applyFont="1" applyBorder="1"/>
    <xf numFmtId="43" fontId="36" fillId="0" borderId="3" xfId="3" applyFont="1" applyBorder="1"/>
    <xf numFmtId="0" fontId="24" fillId="0" borderId="0" xfId="0" applyFont="1" applyAlignment="1">
      <alignment horizontal="left" vertical="top"/>
    </xf>
    <xf numFmtId="40" fontId="37" fillId="0" borderId="0" xfId="0" applyNumberFormat="1" applyFont="1" applyAlignment="1">
      <alignment vertical="top" wrapText="1"/>
    </xf>
    <xf numFmtId="43" fontId="38" fillId="0" borderId="0" xfId="3" applyFont="1"/>
    <xf numFmtId="43" fontId="38" fillId="0" borderId="7" xfId="3" applyFont="1" applyBorder="1"/>
    <xf numFmtId="43" fontId="38" fillId="0" borderId="8" xfId="3" applyFont="1" applyBorder="1"/>
    <xf numFmtId="43" fontId="38" fillId="0" borderId="1" xfId="3" applyFont="1" applyBorder="1"/>
    <xf numFmtId="43" fontId="38" fillId="0" borderId="3" xfId="3" applyFont="1" applyBorder="1"/>
    <xf numFmtId="14" fontId="31" fillId="0" borderId="0" xfId="0" applyNumberFormat="1" applyFont="1" applyBorder="1" applyAlignment="1">
      <alignment horizontal="right" vertical="top"/>
    </xf>
    <xf numFmtId="14" fontId="22" fillId="0" borderId="0" xfId="0" applyNumberFormat="1" applyFont="1" applyBorder="1" applyAlignment="1">
      <alignment horizontal="right" vertical="top"/>
    </xf>
    <xf numFmtId="40" fontId="19" fillId="0" borderId="0" xfId="0" applyNumberFormat="1" applyFont="1" applyAlignment="1">
      <alignment vertical="top" wrapText="1"/>
    </xf>
    <xf numFmtId="40" fontId="23" fillId="0" borderId="0" xfId="0" applyNumberFormat="1" applyFont="1" applyAlignment="1">
      <alignment vertical="top" wrapText="1"/>
    </xf>
    <xf numFmtId="40" fontId="39" fillId="0" borderId="0" xfId="0" applyNumberFormat="1" applyFont="1" applyAlignment="1">
      <alignment vertical="top" wrapText="1"/>
    </xf>
    <xf numFmtId="43" fontId="39" fillId="0" borderId="0" xfId="3" applyFont="1"/>
    <xf numFmtId="43" fontId="39" fillId="0" borderId="8" xfId="3" applyFont="1" applyBorder="1"/>
    <xf numFmtId="43" fontId="39" fillId="0" borderId="22" xfId="3" applyFont="1" applyBorder="1"/>
    <xf numFmtId="43" fontId="39" fillId="0" borderId="3" xfId="3" applyFont="1" applyBorder="1"/>
    <xf numFmtId="43" fontId="39" fillId="0" borderId="23" xfId="3" applyFont="1" applyBorder="1"/>
    <xf numFmtId="14" fontId="18" fillId="0" borderId="9" xfId="1" applyNumberFormat="1" applyFont="1" applyFill="1" applyBorder="1" applyAlignment="1">
      <alignment horizontal="center" vertical="center" wrapText="1"/>
    </xf>
    <xf numFmtId="14" fontId="19" fillId="0" borderId="21" xfId="0" applyNumberFormat="1" applyFont="1" applyBorder="1" applyAlignment="1">
      <alignment horizontal="left" vertical="top" wrapText="1"/>
    </xf>
    <xf numFmtId="14" fontId="19" fillId="0" borderId="21" xfId="0" applyNumberFormat="1" applyFont="1" applyFill="1" applyBorder="1" applyAlignment="1">
      <alignment horizontal="left" vertical="top" wrapText="1"/>
    </xf>
    <xf numFmtId="14" fontId="19" fillId="0" borderId="10" xfId="0" applyNumberFormat="1" applyFont="1" applyFill="1" applyBorder="1" applyAlignment="1">
      <alignment horizontal="left" vertical="top" wrapText="1"/>
    </xf>
    <xf numFmtId="14" fontId="22" fillId="0" borderId="26" xfId="0" applyNumberFormat="1" applyFont="1" applyBorder="1" applyAlignment="1">
      <alignment horizontal="left" vertical="top" wrapText="1"/>
    </xf>
    <xf numFmtId="40" fontId="18" fillId="2" borderId="9" xfId="1" applyNumberFormat="1" applyFont="1" applyFill="1" applyBorder="1" applyAlignment="1">
      <alignment horizontal="center" vertical="center" wrapText="1"/>
    </xf>
    <xf numFmtId="40" fontId="19" fillId="0" borderId="21" xfId="0" applyNumberFormat="1" applyFont="1" applyFill="1" applyBorder="1" applyAlignment="1">
      <alignment horizontal="right" vertical="top" wrapText="1"/>
    </xf>
    <xf numFmtId="40" fontId="19" fillId="0" borderId="21" xfId="0" applyNumberFormat="1" applyFont="1" applyFill="1" applyBorder="1" applyAlignment="1">
      <alignment vertical="top" wrapText="1"/>
    </xf>
    <xf numFmtId="40" fontId="19" fillId="0" borderId="10" xfId="0" applyNumberFormat="1" applyFont="1" applyFill="1" applyBorder="1" applyAlignment="1">
      <alignment vertical="top" wrapText="1"/>
    </xf>
    <xf numFmtId="40" fontId="22" fillId="0" borderId="27" xfId="0" applyNumberFormat="1" applyFont="1" applyFill="1" applyBorder="1" applyAlignment="1">
      <alignment horizontal="right" vertical="top" wrapText="1"/>
    </xf>
    <xf numFmtId="40" fontId="18" fillId="0" borderId="12" xfId="1" applyNumberFormat="1" applyFont="1" applyFill="1" applyBorder="1" applyAlignment="1">
      <alignment horizontal="center" vertical="center" wrapText="1"/>
    </xf>
    <xf numFmtId="40" fontId="19" fillId="0" borderId="24" xfId="0" applyNumberFormat="1" applyFont="1" applyBorder="1" applyAlignment="1">
      <alignment horizontal="right" vertical="top" wrapText="1"/>
    </xf>
    <xf numFmtId="40" fontId="19" fillId="0" borderId="25" xfId="0" applyNumberFormat="1" applyFont="1" applyFill="1" applyBorder="1" applyAlignment="1">
      <alignment horizontal="right" vertical="top" wrapText="1"/>
    </xf>
    <xf numFmtId="40" fontId="19" fillId="0" borderId="24" xfId="0" applyNumberFormat="1" applyFont="1" applyFill="1" applyBorder="1" applyAlignment="1">
      <alignment horizontal="right" vertical="top" wrapText="1"/>
    </xf>
    <xf numFmtId="40" fontId="19" fillId="0" borderId="28" xfId="0" applyNumberFormat="1" applyFont="1" applyFill="1" applyBorder="1" applyAlignment="1">
      <alignment horizontal="right" vertical="top" wrapText="1"/>
    </xf>
    <xf numFmtId="40" fontId="22" fillId="0" borderId="19" xfId="0" applyNumberFormat="1" applyFont="1" applyFill="1" applyBorder="1" applyAlignment="1">
      <alignment horizontal="right" vertical="top" wrapText="1"/>
    </xf>
    <xf numFmtId="43" fontId="19" fillId="0" borderId="23" xfId="3" applyFont="1" applyBorder="1"/>
    <xf numFmtId="43" fontId="19" fillId="0" borderId="22" xfId="3" applyFont="1" applyBorder="1"/>
    <xf numFmtId="40" fontId="34" fillId="0" borderId="0" xfId="0" applyNumberFormat="1" applyFont="1" applyAlignment="1">
      <alignment vertical="top"/>
    </xf>
    <xf numFmtId="40" fontId="19" fillId="0" borderId="0" xfId="0" applyNumberFormat="1" applyFont="1" applyAlignment="1">
      <alignment vertical="top"/>
    </xf>
    <xf numFmtId="14" fontId="22" fillId="0" borderId="11" xfId="0" applyNumberFormat="1" applyFont="1" applyBorder="1" applyAlignment="1">
      <alignment horizontal="right" vertical="top" wrapText="1"/>
    </xf>
    <xf numFmtId="14" fontId="22" fillId="0" borderId="16" xfId="0" applyNumberFormat="1" applyFont="1" applyBorder="1" applyAlignment="1">
      <alignment horizontal="right" vertical="top" wrapText="1"/>
    </xf>
    <xf numFmtId="165" fontId="19" fillId="0" borderId="0" xfId="0" applyNumberFormat="1" applyFont="1" applyAlignment="1">
      <alignment horizontal="center" vertical="top"/>
    </xf>
    <xf numFmtId="40" fontId="19" fillId="0" borderId="2" xfId="0" applyNumberFormat="1" applyFont="1" applyFill="1" applyBorder="1" applyAlignment="1">
      <alignment vertical="top"/>
    </xf>
    <xf numFmtId="40" fontId="19" fillId="0" borderId="17" xfId="0" applyNumberFormat="1" applyFont="1" applyFill="1" applyBorder="1" applyAlignment="1">
      <alignment vertical="top"/>
    </xf>
    <xf numFmtId="165" fontId="35" fillId="0" borderId="0" xfId="0" applyNumberFormat="1" applyFont="1" applyAlignment="1">
      <alignment horizontal="center" vertical="top"/>
    </xf>
    <xf numFmtId="165" fontId="37" fillId="0" borderId="0" xfId="0" applyNumberFormat="1" applyFont="1" applyAlignment="1">
      <alignment horizontal="center" vertical="top"/>
    </xf>
    <xf numFmtId="165" fontId="39" fillId="0" borderId="0" xfId="0" applyNumberFormat="1" applyFont="1" applyAlignment="1">
      <alignment horizontal="center" vertical="top"/>
    </xf>
    <xf numFmtId="40" fontId="18" fillId="0" borderId="5" xfId="1" applyNumberFormat="1" applyFont="1" applyFill="1" applyBorder="1" applyAlignment="1">
      <alignment horizontal="center" vertical="center" wrapText="1"/>
    </xf>
    <xf numFmtId="40" fontId="19" fillId="0" borderId="7" xfId="0" applyNumberFormat="1" applyFont="1" applyBorder="1" applyAlignment="1">
      <alignment horizontal="right" vertical="top" wrapText="1"/>
    </xf>
    <xf numFmtId="40" fontId="19" fillId="0" borderId="7" xfId="0" applyNumberFormat="1" applyFont="1" applyFill="1" applyBorder="1" applyAlignment="1">
      <alignment horizontal="right" vertical="top" wrapText="1"/>
    </xf>
    <xf numFmtId="40" fontId="19" fillId="0" borderId="8" xfId="0" applyNumberFormat="1" applyFont="1" applyFill="1" applyBorder="1" applyAlignment="1">
      <alignment horizontal="right" vertical="top" wrapText="1"/>
    </xf>
    <xf numFmtId="40" fontId="22" fillId="0" borderId="29" xfId="0" applyNumberFormat="1" applyFont="1" applyFill="1" applyBorder="1" applyAlignment="1">
      <alignment horizontal="right" vertical="top" wrapText="1"/>
    </xf>
    <xf numFmtId="14" fontId="18" fillId="0" borderId="11" xfId="1" applyNumberFormat="1" applyFont="1" applyFill="1" applyBorder="1" applyAlignment="1">
      <alignment horizontal="center" vertical="center" wrapText="1"/>
    </xf>
    <xf numFmtId="165" fontId="19" fillId="0" borderId="0" xfId="0" applyNumberFormat="1" applyFont="1" applyAlignment="1">
      <alignment horizontal="center" vertical="top" wrapText="1"/>
    </xf>
    <xf numFmtId="40" fontId="19" fillId="0" borderId="0" xfId="0" applyNumberFormat="1" applyFont="1" applyBorder="1" applyAlignment="1">
      <alignment vertical="center" wrapText="1"/>
    </xf>
    <xf numFmtId="40" fontId="35" fillId="0" borderId="0" xfId="0" applyNumberFormat="1" applyFont="1" applyAlignment="1">
      <alignment horizontal="center" vertical="top" wrapText="1"/>
    </xf>
    <xf numFmtId="40" fontId="37" fillId="0" borderId="0" xfId="0" applyNumberFormat="1" applyFont="1" applyAlignment="1">
      <alignment horizontal="center" vertical="top" wrapText="1"/>
    </xf>
    <xf numFmtId="40" fontId="19" fillId="0" borderId="0" xfId="0" applyNumberFormat="1" applyFont="1" applyAlignment="1">
      <alignment horizontal="center" vertical="top" wrapText="1"/>
    </xf>
    <xf numFmtId="40" fontId="39" fillId="0" borderId="0" xfId="0" applyNumberFormat="1" applyFont="1" applyAlignment="1">
      <alignment horizontal="center" vertical="top" wrapText="1"/>
    </xf>
    <xf numFmtId="0" fontId="19" fillId="0" borderId="0" xfId="0" applyNumberFormat="1" applyFont="1" applyAlignment="1">
      <alignment horizontal="center" vertical="top" wrapText="1"/>
    </xf>
    <xf numFmtId="40" fontId="22" fillId="0" borderId="0" xfId="0" applyNumberFormat="1" applyFont="1" applyAlignment="1">
      <alignment vertical="top"/>
    </xf>
    <xf numFmtId="40" fontId="40" fillId="0" borderId="0" xfId="0" applyNumberFormat="1" applyFont="1" applyBorder="1" applyAlignment="1">
      <alignment horizontal="center" vertical="top" wrapText="1"/>
    </xf>
    <xf numFmtId="40" fontId="19" fillId="0" borderId="0" xfId="0" applyNumberFormat="1" applyFont="1" applyFill="1" applyAlignment="1">
      <alignment vertical="top"/>
    </xf>
    <xf numFmtId="40" fontId="43" fillId="0" borderId="0" xfId="0" applyNumberFormat="1" applyFont="1" applyAlignment="1">
      <alignment vertical="top" wrapText="1"/>
    </xf>
    <xf numFmtId="40" fontId="44" fillId="0" borderId="0" xfId="0" applyNumberFormat="1" applyFont="1" applyAlignment="1">
      <alignment vertical="top" wrapText="1"/>
    </xf>
    <xf numFmtId="40" fontId="44" fillId="0" borderId="0" xfId="0" applyNumberFormat="1" applyFont="1" applyAlignment="1">
      <alignment horizontal="center" vertical="top" wrapText="1"/>
    </xf>
    <xf numFmtId="165" fontId="44" fillId="0" borderId="0" xfId="0" applyNumberFormat="1" applyFont="1" applyAlignment="1">
      <alignment horizontal="center" vertical="top"/>
    </xf>
    <xf numFmtId="0" fontId="24" fillId="0" borderId="0" xfId="0" applyFont="1" applyAlignment="1">
      <alignment horizontal="left" vertical="top" wrapText="1"/>
    </xf>
    <xf numFmtId="40" fontId="20" fillId="0" borderId="0" xfId="0" applyNumberFormat="1" applyFont="1" applyBorder="1" applyAlignment="1">
      <alignment horizontal="center" vertical="top"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14" fontId="16" fillId="0" borderId="4"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40" fontId="25" fillId="4" borderId="13" xfId="1" applyNumberFormat="1" applyFont="1" applyFill="1" applyBorder="1" applyAlignment="1">
      <alignment horizontal="center" vertical="center" wrapText="1"/>
    </xf>
    <xf numFmtId="40" fontId="25" fillId="4" borderId="14" xfId="1" applyNumberFormat="1" applyFont="1" applyFill="1" applyBorder="1" applyAlignment="1">
      <alignment horizontal="center" vertical="center" wrapText="1"/>
    </xf>
    <xf numFmtId="40" fontId="25" fillId="4" borderId="15" xfId="1" applyNumberFormat="1" applyFont="1" applyFill="1" applyBorder="1" applyAlignment="1">
      <alignment horizontal="center" vertical="center" wrapText="1"/>
    </xf>
    <xf numFmtId="40" fontId="16"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Border="1" applyAlignment="1">
      <alignment horizontal="left" vertical="top" wrapText="1"/>
    </xf>
  </cellXfs>
  <cellStyles count="7">
    <cellStyle name="Comma" xfId="3" builtinId="3"/>
    <cellStyle name="Comma 2" xfId="6"/>
    <cellStyle name="Currency" xfId="1" builtinId="4"/>
    <cellStyle name="Normal" xfId="0" builtinId="0"/>
    <cellStyle name="Normal 2" xfId="4"/>
    <cellStyle name="Normal 2 2" xfId="5"/>
    <cellStyle name="Normal_Notes" xfId="2"/>
  </cellStyles>
  <dxfs count="177">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right style="thin">
          <color indexed="64"/>
        </right>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alignment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6" formatCode="mm/dd/yyyy"/>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4DFE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76"/>
      <tableStyleElement type="firstRowStripe" dxfId="175"/>
    </tableStyle>
    <tableStyle name="Table Style 2" pivot="0" count="1">
      <tableStyleElement type="firstRowStripe" dxfId="174"/>
    </tableStyle>
    <tableStyle name="Table Style 3" pivot="0" count="1">
      <tableStyleElement type="firstRowStripe" dxfId="173"/>
    </tableStyle>
    <tableStyle name="Table Style 4" pivot="0" count="3">
      <tableStyleElement type="wholeTable" dxfId="172"/>
      <tableStyleElement type="headerRow" dxfId="171"/>
      <tableStyleElement type="firstRowStripe" dxfId="170"/>
    </tableStyle>
  </tableStyles>
  <colors>
    <mruColors>
      <color rgb="FFE4DFEC"/>
      <color rgb="FFFFFFCC"/>
      <color rgb="FFDBB7FF"/>
      <color rgb="FFD9D9D9"/>
      <color rgb="FFC5D9F1"/>
      <color rgb="FFFABF8F"/>
      <color rgb="FFF2DCDB"/>
      <color rgb="FFACEAAC"/>
      <color rgb="FFC9F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30" unboundColumnsRight="2">
    <queryTableFields count="2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9" dataBound="0" tableColumnId="29"/>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TAP &lt;5" tableColumnId="23"/>
      <queryTableField id="24" name="TAP 5-200" tableColumnId="24"/>
      <queryTableField id="25" name="TA OVER 200K" tableColumnId="25"/>
      <queryTableField id="26" name="TAP Flex" tableColumnId="26"/>
      <queryTableField id="28" dataBound="0" tableColumnId="27"/>
      <queryTableField id="27" dataBound="0" tableColumnId="2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30" unboundColumnsRight="2">
    <queryTableFields count="2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9" dataBound="0" tableColumnId="29"/>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TAP &lt;5" tableColumnId="23"/>
      <queryTableField id="24" name="TAP 5-200" tableColumnId="24"/>
      <queryTableField id="25" name="TA OVER 200K" tableColumnId="25"/>
      <queryTableField id="26" name="TAP Flex" tableColumnId="26"/>
      <queryTableField id="28" dataBound="0" tableColumnId="27"/>
      <queryTableField id="27" dataBound="0" tableColumnId="28"/>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5">
    <queryTableFields count="24">
      <queryTableField id="1" name="Transaction Year" tableColumnId="8"/>
      <queryTableField id="2" name="Transaction Type" tableColumnId="9"/>
      <queryTableField id="3" name="Number" tableColumnId="10"/>
      <queryTableField id="4" name="From" tableColumnId="11"/>
      <queryTableField id="5" name="To" tableColumnId="12"/>
      <queryTableField id="6" name="Repayment Year" tableColumnId="13"/>
      <queryTableField id="7" name="Project8" tableColumnId="14"/>
      <queryTableField id="8" name="Notes" tableColumnId="15"/>
      <queryTableField id="9" name="Total" tableColumnId="16"/>
      <queryTableField id="10" name="CMAQ" tableColumnId="17"/>
      <queryTableField id="11" name="CMAQ 25" tableColumnId="18"/>
      <queryTableField id="12" name="HURF Exchange" tableColumnId="19"/>
      <queryTableField id="13" name="HSIP" tableColumnId="20"/>
      <queryTableField id="14" name="PLAN" tableColumnId="21"/>
      <queryTableField id="15" name="SPR" tableColumnId="22"/>
      <queryTableField id="16" name="STP &lt;5" tableColumnId="23"/>
      <queryTableField id="17" name="STP 5-2" tableColumnId="24"/>
      <queryTableField id="18" name="STP &gt;200" tableColumnId="25"/>
      <queryTableField id="19" name="STP Flex" tableColumnId="26"/>
      <queryTableField id="20" name="TAP &lt;5" tableColumnId="27"/>
      <queryTableField id="21" name="TAP 5-2" tableColumnId="28"/>
      <queryTableField id="22" name="TAP &gt;200" tableColumnId="29"/>
      <queryTableField id="24" dataBound="0" tableColumnId="31"/>
      <queryTableField id="23" name="TAP Flex" tableColumnId="3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4">
    <queryTableFields count="23">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CMAQ" tableColumnId="11"/>
      <queryTableField id="11" name="CMAQ 25" tableColumnId="12"/>
      <queryTableField id="12" name="HURF Exchange" tableColumnId="13"/>
      <queryTableField id="13" name="HSIP" tableColumnId="14"/>
      <queryTableField id="14" name="PLAN" tableColumnId="15"/>
      <queryTableField id="15" name="SPR" tableColumnId="16"/>
      <queryTableField id="16" name="STP &lt;5" tableColumnId="17"/>
      <queryTableField id="17" name="STP 5-2" tableColumnId="18"/>
      <queryTableField id="18" name="STP &gt;200" tableColumnId="19"/>
      <queryTableField id="19" name="STP Flex" tableColumnId="20"/>
      <queryTableField id="20" name="TAP &lt;5" tableColumnId="21"/>
      <queryTableField id="21" name="TAP 5-2" tableColumnId="22"/>
      <queryTableField id="22" name="TAP &gt;200" tableColumnId="23"/>
      <queryTableField id="23" name="TAP Flex" tableColumnId="2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C13" totalsRowShown="0" headerRowDxfId="169" dataDxfId="167" headerRowBorderDxfId="168" tableBorderDxfId="166" totalsRowBorderDxfId="165" headerRowCellStyle="Currency">
  <autoFilter ref="M3:AC13"/>
  <tableColumns count="17">
    <tableColumn id="1" name="Description" dataDxfId="164"/>
    <tableColumn id="17" name="HURF EX" dataDxfId="163"/>
    <tableColumn id="9" name="CMAQ" dataDxfId="162"/>
    <tableColumn id="3" name="CMAQ 2_5" dataDxfId="161"/>
    <tableColumn id="4" name="HSIP/3" dataDxfId="160"/>
    <tableColumn id="2" name="PL" dataDxfId="159"/>
    <tableColumn id="5" name="SPR /4" dataDxfId="158"/>
    <tableColumn id="15" name="STP &lt;5" dataDxfId="157"/>
    <tableColumn id="16" name="STP 5-2" dataDxfId="156"/>
    <tableColumn id="6" name="STP OVER 200K" dataDxfId="155"/>
    <tableColumn id="11" name="STP Other" dataDxfId="154"/>
    <tableColumn id="10" name="TAP &lt;5" dataDxfId="153"/>
    <tableColumn id="14" name="TAP 5-2" dataDxfId="152"/>
    <tableColumn id="12" name="TA OVER 200K" dataDxfId="151"/>
    <tableColumn id="13" name="TAP Flex" dataDxfId="150"/>
    <tableColumn id="7" name="Total" dataDxfId="149">
      <calculatedColumnFormula>SUM(Table1[[#This Row],[CMAQ]:[TAP Flex]])</calculatedColumnFormula>
    </tableColumn>
    <tableColumn id="8" name="FFY OBLIGATION AUTHORITY /2" dataDxfId="148"/>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6:AC27" tableType="queryTable" totalsRowShown="0" headerRowDxfId="147" dataDxfId="146" tableBorderDxfId="145">
  <autoFilter ref="A16:AC27"/>
  <sortState ref="A17:AC27">
    <sortCondition ref="M16:M128"/>
  </sortState>
  <tableColumns count="29">
    <tableColumn id="1" uniqueName="1" name="ADOT#" queryTableFieldId="1" dataDxfId="144"/>
    <tableColumn id="2" uniqueName="2" name="TIP#" queryTableFieldId="2" dataDxfId="143"/>
    <tableColumn id="3" uniqueName="3" name="Sponsor" queryTableFieldId="3" dataDxfId="142"/>
    <tableColumn id="4" uniqueName="4" name="Action/15" queryTableFieldId="4" dataDxfId="141"/>
    <tableColumn id="5" uniqueName="5" name="Location" queryTableFieldId="5" dataDxfId="140"/>
    <tableColumn id="6" uniqueName="6" name="RTE" queryTableFieldId="6" dataDxfId="139"/>
    <tableColumn id="7" uniqueName="7" name="SEC" queryTableFieldId="7" dataDxfId="138"/>
    <tableColumn id="8" uniqueName="8" name="SEQ" queryTableFieldId="8" dataDxfId="137"/>
    <tableColumn id="29" uniqueName="29" name="Fed #" queryTableFieldId="29" dataDxfId="136">
      <calculatedColumnFormula>CONCATENATE(Table_Query_from_MS_Access_Database_1[RTE],Table_Query_from_MS_Access_Database_1[SEC],Table_Query_from_MS_Access_Database_1[SEQ])</calculatedColumnFormula>
    </tableColumn>
    <tableColumn id="9" uniqueName="9" name="PB Expected" queryTableFieldId="9" dataDxfId="135"/>
    <tableColumn id="10" uniqueName="10" name="PB Received" queryTableFieldId="10" dataDxfId="134"/>
    <tableColumn id="11" uniqueName="11" name="PF Transmitted" queryTableFieldId="11" dataDxfId="133"/>
    <tableColumn id="12" uniqueName="12" name="Finance Authorization" queryTableFieldId="12" dataDxfId="132"/>
    <tableColumn id="13" uniqueName="13" name="HURF EX" queryTableFieldId="13" dataDxfId="131"/>
    <tableColumn id="14" uniqueName="14" name="CMAQ" queryTableFieldId="14" dataDxfId="130"/>
    <tableColumn id="15" uniqueName="15" name="CMAQ 2_5" queryTableFieldId="15" dataDxfId="129"/>
    <tableColumn id="16" uniqueName="16" name="HSIP" queryTableFieldId="16" dataDxfId="128"/>
    <tableColumn id="17" uniqueName="17" name="PL" queryTableFieldId="17" dataDxfId="127"/>
    <tableColumn id="18" uniqueName="18" name="SPR" queryTableFieldId="18" dataDxfId="126"/>
    <tableColumn id="19" uniqueName="19" name="STP &lt;5" queryTableFieldId="19" dataDxfId="125"/>
    <tableColumn id="20" uniqueName="20" name="STP 5-200" queryTableFieldId="20" dataDxfId="124"/>
    <tableColumn id="21" uniqueName="21" name="STP OVER 200K" queryTableFieldId="21" dataDxfId="123"/>
    <tableColumn id="22" uniqueName="22" name="STP OTHER" queryTableFieldId="22" dataDxfId="122"/>
    <tableColumn id="23" uniqueName="23" name="TAP &lt;5" queryTableFieldId="23" dataDxfId="121"/>
    <tableColumn id="24" uniqueName="24" name="TAP 5-200" queryTableFieldId="24" dataDxfId="120"/>
    <tableColumn id="25" uniqueName="25" name="TA OVER 200K" queryTableFieldId="25" dataDxfId="119"/>
    <tableColumn id="26" uniqueName="26" name="TAP Flex" queryTableFieldId="26" dataDxfId="118"/>
    <tableColumn id="27" uniqueName="27" name="TOTAL OF AMOUNT" queryTableFieldId="28" dataDxfId="117">
      <calculatedColumnFormula>SUM(Table_Query_from_MS_Access_Database_1[[#This Row],[HURF EX]:[TAP Flex]])</calculatedColumnFormula>
    </tableColumn>
    <tableColumn id="28" uniqueName="28" name="DECLINING BALANCE OA" queryTableFieldId="27" dataDxfId="116">
      <calculatedColumnFormula>AC13-Table_Query_from_MS_Access_Database_1[TOTAL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_2" displayName="Table_Query_from_MS_Access_Database_2" ref="A32:AC76" tableType="queryTable" totalsRowShown="0" headerRowDxfId="115" dataDxfId="114" tableBorderDxfId="113">
  <autoFilter ref="A32:AC76"/>
  <sortState ref="A33:AC76">
    <sortCondition ref="C96:C161"/>
  </sortState>
  <tableColumns count="29">
    <tableColumn id="1" uniqueName="1" name="ADOT#" queryTableFieldId="1" dataDxfId="112"/>
    <tableColumn id="2" uniqueName="2" name="TIP#" queryTableFieldId="2" dataDxfId="111"/>
    <tableColumn id="3" uniqueName="3" name="Sponsor" queryTableFieldId="3" dataDxfId="110"/>
    <tableColumn id="4" uniqueName="4" name="Action/15" queryTableFieldId="4" dataDxfId="109"/>
    <tableColumn id="5" uniqueName="5" name="Location" queryTableFieldId="5" dataDxfId="108"/>
    <tableColumn id="6" uniqueName="6" name="RTE" queryTableFieldId="6" dataDxfId="107"/>
    <tableColumn id="7" uniqueName="7" name="SEC" queryTableFieldId="7" dataDxfId="106"/>
    <tableColumn id="8" uniqueName="8" name="SEQ" queryTableFieldId="8" dataDxfId="105"/>
    <tableColumn id="29" uniqueName="29" name="Fed #" queryTableFieldId="29" dataDxfId="104">
      <calculatedColumnFormula>CONCATENATE(Table_Query_from_MS_Access_Database_2[RTE],Table_Query_from_MS_Access_Database_2[SEC],Table_Query_from_MS_Access_Database_2[SEQ])</calculatedColumnFormula>
    </tableColumn>
    <tableColumn id="9" uniqueName="9" name="PB Expected" queryTableFieldId="9" dataDxfId="103"/>
    <tableColumn id="10" uniqueName="10" name="PB Received" queryTableFieldId="10" dataDxfId="102"/>
    <tableColumn id="11" uniqueName="11" name="PF Transmitted" queryTableFieldId="11" dataDxfId="101"/>
    <tableColumn id="12" uniqueName="12" name="Finance Authorization" queryTableFieldId="12" dataDxfId="100"/>
    <tableColumn id="13" uniqueName="13" name="HURF EX" queryTableFieldId="13" dataDxfId="99"/>
    <tableColumn id="14" uniqueName="14" name="CMAQ" queryTableFieldId="14" dataDxfId="98"/>
    <tableColumn id="15" uniqueName="15" name="CMAQ 2_5" queryTableFieldId="15" dataDxfId="97"/>
    <tableColumn id="16" uniqueName="16" name="HSIP" queryTableFieldId="16" dataDxfId="96"/>
    <tableColumn id="17" uniqueName="17" name="PL" queryTableFieldId="17" dataDxfId="95"/>
    <tableColumn id="18" uniqueName="18" name="SPR" queryTableFieldId="18" dataDxfId="94"/>
    <tableColumn id="19" uniqueName="19" name="STP &lt;5" queryTableFieldId="19" dataDxfId="93"/>
    <tableColumn id="20" uniqueName="20" name="STP 5-200" queryTableFieldId="20" dataDxfId="92"/>
    <tableColumn id="21" uniqueName="21" name="STP OVER 200K" queryTableFieldId="21" dataDxfId="91"/>
    <tableColumn id="22" uniqueName="22" name="STP OTHER" queryTableFieldId="22" dataDxfId="90"/>
    <tableColumn id="23" uniqueName="23" name="TAP &lt;5" queryTableFieldId="23" dataDxfId="89"/>
    <tableColumn id="24" uniqueName="24" name="TAP 5-200" queryTableFieldId="24" dataDxfId="88"/>
    <tableColumn id="25" uniqueName="25" name="TA OVER 200K" queryTableFieldId="25" dataDxfId="87"/>
    <tableColumn id="26" uniqueName="26" name="TAP Flex" queryTableFieldId="26" dataDxfId="86"/>
    <tableColumn id="27" uniqueName="27" name="TOTAL OF AMOUNT" queryTableFieldId="28" dataDxfId="85">
      <calculatedColumnFormula>SUM(Table_Query_from_MS_Access_Database_2[[#This Row],[HURF EX]:[TAP Flex]])</calculatedColumnFormula>
    </tableColumn>
    <tableColumn id="28" uniqueName="28" name="EXPECTED DECLINING BALANCE OA" queryTableFieldId="27" dataDxfId="84"/>
  </tableColumns>
  <tableStyleInfo name="Table Style 4" showFirstColumn="0" showLastColumn="0" showRowStripes="1" showColumnStripes="0"/>
</table>
</file>

<file path=xl/tables/table4.xml><?xml version="1.0" encoding="utf-8"?>
<table xmlns="http://schemas.openxmlformats.org/spreadsheetml/2006/main" id="6" name="Table6" displayName="Table6" ref="N82:AC86" totalsRowShown="0" headerRowDxfId="83" dataDxfId="81" headerRowBorderDxfId="82" tableBorderDxfId="80" totalsRowBorderDxfId="79" headerRowCellStyle="Currency">
  <autoFilter ref="N82:AC86"/>
  <tableColumns count="16">
    <tableColumn id="1" name="HURF EX" dataDxfId="78"/>
    <tableColumn id="2" name="CMAQ" dataDxfId="77">
      <calculatedColumnFormula>+O82-#REF!</calculatedColumnFormula>
    </tableColumn>
    <tableColumn id="3" name="CMAQ 2_5" dataDxfId="76">
      <calculatedColumnFormula>+P82-#REF!</calculatedColumnFormula>
    </tableColumn>
    <tableColumn id="4" name="HSIP/3" dataDxfId="75">
      <calculatedColumnFormula>+Q82-#REF!</calculatedColumnFormula>
    </tableColumn>
    <tableColumn id="5" name="PL" dataDxfId="74">
      <calculatedColumnFormula>+R82-#REF!</calculatedColumnFormula>
    </tableColumn>
    <tableColumn id="12" name="SPR /4" dataDxfId="73">
      <calculatedColumnFormula>S81+S82</calculatedColumnFormula>
    </tableColumn>
    <tableColumn id="13" name="STP &lt;5" dataDxfId="72">
      <calculatedColumnFormula>T78</calculatedColumnFormula>
    </tableColumn>
    <tableColumn id="14" name="STP 5-2" dataDxfId="71"/>
    <tableColumn id="6" name="STP OVER 200K" dataDxfId="70">
      <calculatedColumnFormula>+#REF!-V82</calculatedColumnFormula>
    </tableColumn>
    <tableColumn id="15" name="STP other" dataDxfId="69">
      <calculatedColumnFormula>W78</calculatedColumnFormula>
    </tableColumn>
    <tableColumn id="16" name="TAP &lt;5" dataDxfId="68">
      <calculatedColumnFormula>X78</calculatedColumnFormula>
    </tableColumn>
    <tableColumn id="8" name="TAP 5-2" dataDxfId="67"/>
    <tableColumn id="9" name="TA OVER 200K" dataDxfId="66"/>
    <tableColumn id="7" name="TAP Flex" dataDxfId="65"/>
    <tableColumn id="10" name="Total" dataDxfId="64">
      <calculatedColumnFormula>+SUM(Table6[[#This Row],[HURF EX]:[TAP Flex]])</calculatedColumnFormula>
    </tableColumn>
    <tableColumn id="11" name="OA" dataDxfId="63">
      <calculatedColumnFormula>+#REF!-AC82</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X49" tableType="queryTable" totalsRowShown="0" headerRowDxfId="62" dataDxfId="60" headerRowBorderDxfId="61" tableBorderDxfId="59" totalsRowBorderDxfId="58" headerRowCellStyle="Comma" dataCellStyle="Comma">
  <autoFilter ref="A11:X49"/>
  <tableColumns count="24">
    <tableColumn id="8" uniqueName="8" name="Transaction Year" queryTableFieldId="1" dataDxfId="57" dataCellStyle="Comma"/>
    <tableColumn id="9" uniqueName="9" name="Transaction Type" queryTableFieldId="2" dataDxfId="56" dataCellStyle="Comma"/>
    <tableColumn id="10" uniqueName="10" name="Number" queryTableFieldId="3" dataDxfId="55" dataCellStyle="Comma"/>
    <tableColumn id="11" uniqueName="11" name="From" queryTableFieldId="4" dataDxfId="54" dataCellStyle="Comma"/>
    <tableColumn id="12" uniqueName="12" name="To" queryTableFieldId="5" dataDxfId="53" dataCellStyle="Comma"/>
    <tableColumn id="13" uniqueName="13" name="Repayment Year" queryTableFieldId="6" dataDxfId="52" dataCellStyle="Comma"/>
    <tableColumn id="14" uniqueName="14" name="Project8" queryTableFieldId="7" dataDxfId="51" dataCellStyle="Comma"/>
    <tableColumn id="15" uniqueName="15" name="Notes" queryTableFieldId="8" dataDxfId="50" dataCellStyle="Comma"/>
    <tableColumn id="16" uniqueName="16" name="Total" queryTableFieldId="9" dataDxfId="49" dataCellStyle="Comma"/>
    <tableColumn id="17" uniqueName="17" name="CMAQ" queryTableFieldId="10" dataDxfId="48" dataCellStyle="Comma"/>
    <tableColumn id="18" uniqueName="18" name="CMAQ 25" queryTableFieldId="11" dataDxfId="47" dataCellStyle="Comma"/>
    <tableColumn id="19" uniqueName="19" name="HURF Exchange" queryTableFieldId="12" dataDxfId="46" dataCellStyle="Comma"/>
    <tableColumn id="20" uniqueName="20" name="HSIP" queryTableFieldId="13" dataDxfId="45" dataCellStyle="Comma"/>
    <tableColumn id="21" uniqueName="21" name="PLAN" queryTableFieldId="14" dataDxfId="44" dataCellStyle="Comma"/>
    <tableColumn id="22" uniqueName="22" name="SPR" queryTableFieldId="15" dataDxfId="43" dataCellStyle="Comma"/>
    <tableColumn id="23" uniqueName="23" name="STP &lt;5" queryTableFieldId="16" dataDxfId="42" dataCellStyle="Comma"/>
    <tableColumn id="24" uniqueName="24" name="STP 5-2" queryTableFieldId="17" dataDxfId="41" dataCellStyle="Comma"/>
    <tableColumn id="25" uniqueName="25" name="STP &gt;200" queryTableFieldId="18" dataDxfId="40" dataCellStyle="Comma"/>
    <tableColumn id="26" uniqueName="26" name="STP Flex" queryTableFieldId="19" dataDxfId="39" dataCellStyle="Comma"/>
    <tableColumn id="27" uniqueName="27" name="TAP &lt;5" queryTableFieldId="20" dataDxfId="38" dataCellStyle="Comma"/>
    <tableColumn id="28" uniqueName="28" name="TAP 5-2" queryTableFieldId="21" dataDxfId="37" dataCellStyle="Comma"/>
    <tableColumn id="29" uniqueName="29" name="TAP &gt;200" queryTableFieldId="22" dataDxfId="36" dataCellStyle="Comma"/>
    <tableColumn id="31" uniqueName="31" name="TAP &gt;201" queryTableFieldId="24" dataDxfId="35" dataCellStyle="Comma"/>
    <tableColumn id="30" uniqueName="30" name="TAP Flex" queryTableFieldId="23" dataDxfId="34"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53:W85" tableType="queryTable" totalsRowShown="0" headerRowDxfId="33" dataDxfId="32" tableBorderDxfId="31" headerRowCellStyle="Comma" dataCellStyle="Comma">
  <autoFilter ref="A53:W85"/>
  <tableColumns count="23">
    <tableColumn id="2" uniqueName="2" name="Transaction Year" queryTableFieldId="1" dataDxfId="30" dataCellStyle="Comma"/>
    <tableColumn id="3" uniqueName="3" name="Transaction Type" queryTableFieldId="2" dataDxfId="29" dataCellStyle="Comma"/>
    <tableColumn id="4" uniqueName="4" name="Number" queryTableFieldId="3" dataDxfId="28" dataCellStyle="Comma"/>
    <tableColumn id="5" uniqueName="5" name="From" queryTableFieldId="4" dataDxfId="27" dataCellStyle="Comma"/>
    <tableColumn id="6" uniqueName="6" name="To" queryTableFieldId="5" dataDxfId="26" dataCellStyle="Comma"/>
    <tableColumn id="7" uniqueName="7" name="Repayment Year" queryTableFieldId="6" dataDxfId="25" dataCellStyle="Comma"/>
    <tableColumn id="8" uniqueName="8" name="Project8" queryTableFieldId="7" dataDxfId="24" dataCellStyle="Comma"/>
    <tableColumn id="9" uniqueName="9" name="Notes" queryTableFieldId="8" dataDxfId="23" dataCellStyle="Comma"/>
    <tableColumn id="10" uniqueName="10" name="Total" queryTableFieldId="9" dataDxfId="22" dataCellStyle="Comma"/>
    <tableColumn id="11" uniqueName="11" name="CMAQ" queryTableFieldId="10" dataDxfId="21" dataCellStyle="Comma"/>
    <tableColumn id="12" uniqueName="12" name="CMAQ 25" queryTableFieldId="11" dataDxfId="20" dataCellStyle="Comma"/>
    <tableColumn id="13" uniqueName="13" name="HURF Exchange" queryTableFieldId="12" dataDxfId="19" dataCellStyle="Comma"/>
    <tableColumn id="14" uniqueName="14" name="HSIP" queryTableFieldId="13" dataDxfId="18" dataCellStyle="Comma"/>
    <tableColumn id="15" uniqueName="15" name="PLAN" queryTableFieldId="14" dataDxfId="17" dataCellStyle="Comma"/>
    <tableColumn id="16" uniqueName="16" name="SPR" queryTableFieldId="15" dataDxfId="16" dataCellStyle="Comma"/>
    <tableColumn id="17" uniqueName="17" name="STP &lt;5" queryTableFieldId="16" dataDxfId="15" dataCellStyle="Comma"/>
    <tableColumn id="18" uniqueName="18" name="STP 5-2" queryTableFieldId="17" dataDxfId="14" dataCellStyle="Comma"/>
    <tableColumn id="19" uniqueName="19" name="STP &gt;200" queryTableFieldId="18" dataDxfId="13" dataCellStyle="Comma"/>
    <tableColumn id="20" uniqueName="20" name="STP Flex" queryTableFieldId="19" dataDxfId="12" dataCellStyle="Comma"/>
    <tableColumn id="21" uniqueName="21" name="TAP &lt;5" queryTableFieldId="20" dataDxfId="11" dataCellStyle="Comma"/>
    <tableColumn id="22" uniqueName="22" name="TAP 5-2" queryTableFieldId="21" dataDxfId="10" dataCellStyle="Comma"/>
    <tableColumn id="23" uniqueName="23" name="TAP &gt;200" queryTableFieldId="22" dataDxfId="9" dataCellStyle="Comma"/>
    <tableColumn id="24" uniqueName="24" name="TAP Flex" queryTableFieldId="23" dataDxfId="8" dataCellStyle="Comma"/>
  </tableColumns>
  <tableStyleInfo name="Table Style 4" showFirstColumn="0" showLastColumn="0" showRowStripes="1" showColumnStripes="0"/>
</table>
</file>

<file path=xl/tables/table7.xml><?xml version="1.0" encoding="utf-8"?>
<table xmlns="http://schemas.openxmlformats.org/spreadsheetml/2006/main" id="9" name="Table9" displayName="Table9" ref="A89:F99" totalsRowShown="0" headerRowDxfId="7" dataDxfId="6" headerRowCellStyle="Comma" dataCellStyle="Comma">
  <autoFilter ref="A89:F99"/>
  <tableColumns count="6">
    <tableColumn id="1" name="PROJECT 8" dataDxfId="5" dataCellStyle="Comma"/>
    <tableColumn id="2" name="GAN YEAR" dataDxfId="4" dataCellStyle="Comma"/>
    <tableColumn id="3" name="FUNDING TYPE" dataDxfId="3" dataCellStyle="Comma"/>
    <tableColumn id="4" name=" APPORTIONMENT_AMOUNT " dataDxfId="2" dataCellStyle="Comma"/>
    <tableColumn id="5" name="OA Amount" dataDxfId="1" dataCellStyle="Comma"/>
    <tableColumn id="6" name="Notes"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86"/>
  <sheetViews>
    <sheetView tabSelected="1" zoomScale="90" zoomScaleNormal="90" zoomScaleSheetLayoutView="2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9.140625" style="33" hidden="1" customWidth="1"/>
    <col min="7" max="8" width="9.28515625" style="33" hidden="1" customWidth="1"/>
    <col min="9" max="9" width="12.7109375" style="33" customWidth="1"/>
    <col min="10" max="12" width="15.7109375" style="61" customWidth="1"/>
    <col min="13" max="13" width="23.7109375" style="61" customWidth="1"/>
    <col min="14" max="20" width="14.7109375" style="35" customWidth="1"/>
    <col min="21" max="21" width="16.7109375" style="35" customWidth="1"/>
    <col min="22" max="22" width="16.28515625" style="35" customWidth="1"/>
    <col min="23" max="23" width="14.7109375" style="35" customWidth="1"/>
    <col min="24" max="26" width="14.7109375" style="33" customWidth="1"/>
    <col min="27" max="27" width="16.7109375" style="33" hidden="1" customWidth="1"/>
    <col min="28" max="28" width="16.7109375" style="33" customWidth="1"/>
    <col min="29" max="29" width="18.7109375" style="33" customWidth="1"/>
    <col min="30" max="16384" width="32" style="33"/>
  </cols>
  <sheetData>
    <row r="1" spans="1:30" ht="23.45" customHeight="1" thickBot="1" x14ac:dyDescent="0.35">
      <c r="A1" s="205" t="s">
        <v>98</v>
      </c>
      <c r="B1" s="205"/>
      <c r="C1" s="205"/>
      <c r="D1" s="205"/>
      <c r="E1" s="205"/>
      <c r="F1" s="205"/>
      <c r="K1" s="34"/>
      <c r="M1" s="62"/>
      <c r="N1" s="215" t="s">
        <v>83</v>
      </c>
      <c r="O1" s="215"/>
      <c r="P1" s="215"/>
      <c r="Q1" s="215"/>
      <c r="R1" s="215"/>
      <c r="S1" s="215"/>
      <c r="T1" s="215"/>
      <c r="U1" s="215"/>
      <c r="V1" s="215"/>
      <c r="W1" s="215"/>
      <c r="X1" s="215"/>
      <c r="Y1" s="215"/>
      <c r="Z1" s="215"/>
      <c r="AA1" s="215"/>
      <c r="AB1" s="215"/>
    </row>
    <row r="2" spans="1:30" ht="15.6" customHeight="1" x14ac:dyDescent="0.3">
      <c r="M2" s="62"/>
      <c r="N2" s="212" t="s">
        <v>12</v>
      </c>
      <c r="O2" s="213"/>
      <c r="P2" s="213"/>
      <c r="Q2" s="213"/>
      <c r="R2" s="213"/>
      <c r="S2" s="213"/>
      <c r="T2" s="213"/>
      <c r="U2" s="213"/>
      <c r="V2" s="213"/>
      <c r="W2" s="213"/>
      <c r="X2" s="213"/>
      <c r="Y2" s="213"/>
      <c r="Z2" s="213"/>
      <c r="AA2" s="213"/>
      <c r="AB2" s="214"/>
    </row>
    <row r="3" spans="1:30" ht="26.45" x14ac:dyDescent="0.3">
      <c r="A3" s="207" t="s">
        <v>86</v>
      </c>
      <c r="B3" s="207"/>
      <c r="C3" s="207"/>
      <c r="D3" s="207"/>
      <c r="E3" s="38"/>
      <c r="F3" s="38"/>
      <c r="G3" s="38"/>
      <c r="M3" s="155" t="s">
        <v>11</v>
      </c>
      <c r="N3" s="188" t="s">
        <v>261</v>
      </c>
      <c r="O3" s="183" t="s">
        <v>43</v>
      </c>
      <c r="P3" s="55" t="s">
        <v>44</v>
      </c>
      <c r="Q3" s="55" t="s">
        <v>64</v>
      </c>
      <c r="R3" s="55" t="s">
        <v>45</v>
      </c>
      <c r="S3" s="55" t="s">
        <v>59</v>
      </c>
      <c r="T3" s="55" t="s">
        <v>221</v>
      </c>
      <c r="U3" s="55" t="s">
        <v>222</v>
      </c>
      <c r="V3" s="55" t="s">
        <v>99</v>
      </c>
      <c r="W3" s="55" t="s">
        <v>262</v>
      </c>
      <c r="X3" s="55" t="s">
        <v>223</v>
      </c>
      <c r="Y3" s="55" t="s">
        <v>224</v>
      </c>
      <c r="Z3" s="55" t="s">
        <v>100</v>
      </c>
      <c r="AA3" s="55" t="s">
        <v>236</v>
      </c>
      <c r="AB3" s="165" t="s">
        <v>10</v>
      </c>
      <c r="AC3" s="160" t="s">
        <v>15</v>
      </c>
      <c r="AD3" s="37"/>
    </row>
    <row r="4" spans="1:30" s="92" customFormat="1" ht="27" x14ac:dyDescent="0.25">
      <c r="A4" s="208" t="s">
        <v>237</v>
      </c>
      <c r="B4" s="208"/>
      <c r="C4" s="208"/>
      <c r="D4" s="208"/>
      <c r="E4" s="97"/>
      <c r="F4" s="97"/>
      <c r="G4" s="97"/>
      <c r="J4" s="98"/>
      <c r="K4" s="98"/>
      <c r="L4" s="98"/>
      <c r="M4" s="156" t="s">
        <v>149</v>
      </c>
      <c r="N4" s="166">
        <v>0</v>
      </c>
      <c r="O4" s="184">
        <f>5279543.4</f>
        <v>5279543.4000000004</v>
      </c>
      <c r="P4" s="124">
        <v>0</v>
      </c>
      <c r="Q4" s="124">
        <v>0</v>
      </c>
      <c r="R4" s="124">
        <v>0</v>
      </c>
      <c r="S4" s="124">
        <v>0</v>
      </c>
      <c r="T4" s="124">
        <v>0</v>
      </c>
      <c r="U4" s="124">
        <v>0</v>
      </c>
      <c r="V4" s="125">
        <v>52515667.439999998</v>
      </c>
      <c r="W4" s="125">
        <v>0</v>
      </c>
      <c r="X4" s="125">
        <v>0</v>
      </c>
      <c r="Y4" s="125">
        <v>0</v>
      </c>
      <c r="Z4" s="125">
        <v>4914804.1900000004</v>
      </c>
      <c r="AA4" s="125">
        <v>0</v>
      </c>
      <c r="AB4" s="167">
        <f>SUM(Table1[[#This Row],[CMAQ]:[TAP Flex]])</f>
        <v>62710015.029999994</v>
      </c>
      <c r="AC4" s="130">
        <f>331512.78-3341620</f>
        <v>-3010107.2199999997</v>
      </c>
      <c r="AD4" s="99"/>
    </row>
    <row r="5" spans="1:30" s="92" customFormat="1" ht="27" x14ac:dyDescent="0.25">
      <c r="A5" s="131" t="s">
        <v>148</v>
      </c>
      <c r="B5" s="103"/>
      <c r="C5" s="104">
        <v>43404</v>
      </c>
      <c r="J5" s="63"/>
      <c r="K5" s="98"/>
      <c r="L5" s="98"/>
      <c r="M5" s="157" t="s">
        <v>165</v>
      </c>
      <c r="N5" s="168">
        <v>0</v>
      </c>
      <c r="O5" s="185">
        <v>52365467</v>
      </c>
      <c r="P5" s="125">
        <v>724217</v>
      </c>
      <c r="Q5" s="125">
        <v>0</v>
      </c>
      <c r="R5" s="125">
        <v>4238129</v>
      </c>
      <c r="S5" s="125">
        <f>Notes!D13</f>
        <v>1250000</v>
      </c>
      <c r="T5" s="125">
        <v>1220668</v>
      </c>
      <c r="U5" s="125">
        <v>2603773</v>
      </c>
      <c r="V5" s="125">
        <v>60371268</v>
      </c>
      <c r="W5" s="125">
        <v>0</v>
      </c>
      <c r="X5" s="125">
        <v>153739</v>
      </c>
      <c r="Y5" s="125">
        <v>349168</v>
      </c>
      <c r="Z5" s="125">
        <v>4479692</v>
      </c>
      <c r="AA5" s="125">
        <v>0</v>
      </c>
      <c r="AB5" s="167">
        <f>SUM(Table1[[#This Row],[CMAQ]:[TAP Flex]])</f>
        <v>127756121</v>
      </c>
      <c r="AC5" s="161">
        <f>ROUND((+Table1[[#This Row],[Total]]*0.949),0)</f>
        <v>121240559</v>
      </c>
      <c r="AD5" s="100" t="s">
        <v>66</v>
      </c>
    </row>
    <row r="6" spans="1:30" s="92" customFormat="1" ht="13.15" x14ac:dyDescent="0.3">
      <c r="J6" s="98"/>
      <c r="K6" s="98"/>
      <c r="L6" s="98"/>
      <c r="M6" s="157" t="s">
        <v>74</v>
      </c>
      <c r="N6" s="168">
        <f>SUMIFS(Table_Query_from_MS_Access_Database[[#All],[HURF Exchange]],Table_Query_from_MS_Access_Database[[#All],[Transaction Year]],"2018",Table_Query_from_MS_Access_Database[[#All],[Transaction Type]],"loan in")</f>
        <v>0</v>
      </c>
      <c r="O6" s="185">
        <f>SUMIFS(Table_Query_from_MS_Access_Database[[#All],[CMAQ]],Table_Query_from_MS_Access_Database[[#All],[Transaction Year]],"2018",Table_Query_from_MS_Access_Database[[#All],[Transaction Type]],"loan in")</f>
        <v>0</v>
      </c>
      <c r="P6" s="125">
        <f>SUMIFS(Table_Query_from_MS_Access_Database[[#All],[CMAQ 25]],Table_Query_from_MS_Access_Database[[#All],[Transaction Year]],"2018",Table_Query_from_MS_Access_Database[[#All],[Transaction Type]],"loan in")</f>
        <v>0</v>
      </c>
      <c r="Q6" s="125">
        <f>SUMIFS(Table_Query_from_MS_Access_Database[[#All],[HSIP]],Table_Query_from_MS_Access_Database[[#All],[Transaction Year]],"2018",Table_Query_from_MS_Access_Database[[#All],[Transaction Type]],"loan in")</f>
        <v>0</v>
      </c>
      <c r="R6" s="125">
        <f>SUMIFS(Table_Query_from_MS_Access_Database[[#All],[PLAN]],Table_Query_from_MS_Access_Database[[#All],[PLAN]],"2018",Table_Query_from_MS_Access_Database[[#All],[Transaction Type]],"loan in")</f>
        <v>0</v>
      </c>
      <c r="S6" s="125">
        <f>SUMIFS(Table_Query_from_MS_Access_Database[[#All],[SPR]],Table_Query_from_MS_Access_Database[[#All],[Transaction Year]],"2018",Table_Query_from_MS_Access_Database[[#All],[Transaction Type]],"loan in")</f>
        <v>0</v>
      </c>
      <c r="T6" s="125">
        <f>SUMIFS(Table_Query_from_MS_Access_Database[[#All],[STP &lt;5]],Table_Query_from_MS_Access_Database[[#All],[HSIP]],"2018",Table_Query_from_MS_Access_Database[[#All],[Transaction Type]],"loan in")</f>
        <v>0</v>
      </c>
      <c r="U6" s="125">
        <f>SUMIFS(Table_Query_from_MS_Access_Database[[#All],[STP 5-2]],Table_Query_from_MS_Access_Database[[#All],[PLAN]],"2018",Table_Query_from_MS_Access_Database[[#All],[Transaction Type]],"loan in")</f>
        <v>0</v>
      </c>
      <c r="V6" s="125">
        <f>SUMIFS(Table_Query_from_MS_Access_Database[[#All],[STP &gt;200]],Table_Query_from_MS_Access_Database[[#All],[Transaction Year]],"2018",Table_Query_from_MS_Access_Database[[#All],[Transaction Type]],"loan in")</f>
        <v>0</v>
      </c>
      <c r="W6" s="125">
        <f>SUMIFS(Table_Query_from_MS_Access_Database[[#All],[STP Flex]],Table_Query_from_MS_Access_Database[[#All],[Transaction Year]],"2018",Table_Query_from_MS_Access_Database[[#All],[Transaction Type]],"loan in")</f>
        <v>486888</v>
      </c>
      <c r="X6" s="125">
        <f>SUMIFS(Table_Query_from_MS_Access_Database[[#All],[TAP &lt;5]],Table_Query_from_MS_Access_Database[[#All],[Transaction Year]],"2018",Table_Query_from_MS_Access_Database[[#All],[Transaction Type]],"loan in")</f>
        <v>0</v>
      </c>
      <c r="Y6" s="125">
        <f>SUMIFS(Table_Query_from_MS_Access_Database[[#All],[TAP 5-2]],Table_Query_from_MS_Access_Database[[#All],[Transaction Year]],"2018",Table_Query_from_MS_Access_Database[[#All],[Transaction Type]],"loan in")</f>
        <v>0</v>
      </c>
      <c r="Z6" s="125">
        <f>SUMIFS(Table_Query_from_MS_Access_Database[[#All],[TAP &gt;200]],Table_Query_from_MS_Access_Database[[#All],[Transaction Year]],"2018",Table_Query_from_MS_Access_Database[[#All],[Transaction Type]],"loan in")</f>
        <v>0</v>
      </c>
      <c r="AA6" s="125">
        <f>SUMIFS(Table_Query_from_MS_Access_Database[[#All],[TAP Flex]],Table_Query_from_MS_Access_Database[[#All],[Transaction Year]],"2018",Table_Query_from_MS_Access_Database[[#All],[Transaction Type]],"loan in")</f>
        <v>0</v>
      </c>
      <c r="AB6" s="167">
        <f>SUM(Table1[[#This Row],[HURF EX]:[TAP Flex]])</f>
        <v>486888</v>
      </c>
      <c r="AC6" s="162">
        <f>SUMIFS(Table_Query_from_MS_Access_Database_16[[#All],[Total]],Table_Query_from_MS_Access_Database_16[[#All],[Transaction Year]],"2018",Table_Query_from_MS_Access_Database_16[[#All],[Transaction Type]],"loan in")</f>
        <v>486888</v>
      </c>
      <c r="AD6" s="99"/>
    </row>
    <row r="7" spans="1:30" s="92" customFormat="1" ht="13.15" x14ac:dyDescent="0.3">
      <c r="A7" s="101"/>
      <c r="J7" s="98"/>
      <c r="K7" s="98"/>
      <c r="L7" s="98"/>
      <c r="M7" s="157" t="s">
        <v>75</v>
      </c>
      <c r="N7" s="168">
        <f>SUMIFS(Table_Query_from_MS_Access_Database[[#All],[HURF Exchange]],Table_Query_from_MS_Access_Database[[#All],[Transaction Year]],"2018",Table_Query_from_MS_Access_Database[[#All],[Transaction Type]],"loan Out")</f>
        <v>0</v>
      </c>
      <c r="O7" s="185">
        <f>SUMIFS(Table_Query_from_MS_Access_Database[[#All],[CMAQ]],Table_Query_from_MS_Access_Database[[#All],[Transaction Year]],"2018",Table_Query_from_MS_Access_Database[[#All],[Transaction Type]],"loan Out")</f>
        <v>0</v>
      </c>
      <c r="P7" s="125">
        <f>SUMIFS(Table_Query_from_MS_Access_Database[[#All],[CMAQ 25]],Table_Query_from_MS_Access_Database[[#All],[Transaction Year]],"2018",Table_Query_from_MS_Access_Database[[#All],[Transaction Type]],"loan Out")</f>
        <v>0</v>
      </c>
      <c r="Q7" s="125">
        <f>SUMIFS(Table_Query_from_MS_Access_Database[[#All],[HSIP]],Table_Query_from_MS_Access_Database[[#All],[Transaction Year]],"2018",Table_Query_from_MS_Access_Database[[#All],[Transaction Type]],"loan Out")</f>
        <v>0</v>
      </c>
      <c r="R7" s="125">
        <f>SUMIFS(Table_Query_from_MS_Access_Database[[#All],[PLAN]],Table_Query_from_MS_Access_Database[[#All],[PLAN]],"2018",Table_Query_from_MS_Access_Database[[#All],[Transaction Type]],"loan Out")</f>
        <v>0</v>
      </c>
      <c r="S7" s="125">
        <f>SUMIFS(Table_Query_from_MS_Access_Database[[#All],[SPR]],Table_Query_from_MS_Access_Database[[#All],[Transaction Year]],"2018",Table_Query_from_MS_Access_Database[[#All],[Transaction Type]],"loan Out")</f>
        <v>0</v>
      </c>
      <c r="T7" s="125">
        <f>SUMIFS(Table_Query_from_MS_Access_Database[[#All],[STP &lt;5]],Table_Query_from_MS_Access_Database[[#All],[HSIP]],"2018",Table_Query_from_MS_Access_Database[[#All],[Transaction Type]],"loan Out")</f>
        <v>0</v>
      </c>
      <c r="U7" s="125">
        <f>SUMIFS(Table_Query_from_MS_Access_Database[[#All],[STP 5-2]],Table_Query_from_MS_Access_Database[[#All],[PLAN]],"2018",Table_Query_from_MS_Access_Database[[#All],[Transaction Type]],"loan Out")</f>
        <v>0</v>
      </c>
      <c r="V7" s="125">
        <f>SUMIFS(Table_Query_from_MS_Access_Database[[#All],[STP &gt;200]],Table_Query_from_MS_Access_Database[[#All],[Transaction Year]],"2018",Table_Query_from_MS_Access_Database[[#All],[Transaction Type]],"loan Out")</f>
        <v>0</v>
      </c>
      <c r="W7" s="125">
        <f>SUMIFS(Table_Query_from_MS_Access_Database[[#All],[STP Flex]],Table_Query_from_MS_Access_Database[[#All],[Transaction Year]],"2018",Table_Query_from_MS_Access_Database[[#All],[Transaction Type]],"loan Out")</f>
        <v>0</v>
      </c>
      <c r="X7" s="125">
        <f>SUMIFS(Table_Query_from_MS_Access_Database[[#All],[TAP &lt;5]],Table_Query_from_MS_Access_Database[[#All],[Transaction Year]],"2018",Table_Query_from_MS_Access_Database[[#All],[Transaction Type]],"loan Out")</f>
        <v>0</v>
      </c>
      <c r="Y7" s="125">
        <f>SUMIFS(Table_Query_from_MS_Access_Database[[#All],[TAP 5-2]],Table_Query_from_MS_Access_Database[[#All],[Transaction Year]],"2018",Table_Query_from_MS_Access_Database[[#All],[Transaction Type]],"loan Out")</f>
        <v>0</v>
      </c>
      <c r="Z7" s="125">
        <f>SUMIFS(Table_Query_from_MS_Access_Database[[#All],[TAP &gt;200]],Table_Query_from_MS_Access_Database[[#All],[Transaction Year]],"2018",Table_Query_from_MS_Access_Database[[#All],[Transaction Type]],"loan Out")</f>
        <v>0</v>
      </c>
      <c r="AA7" s="125">
        <f>SUMIFS(Table_Query_from_MS_Access_Database[[#All],[TAP Flex]],Table_Query_from_MS_Access_Database[[#All],[Transaction Year]],"2018",Table_Query_from_MS_Access_Database[[#All],[Transaction Type]],"loan Out")</f>
        <v>0</v>
      </c>
      <c r="AB7" s="167">
        <f>SUM(Table1[[#This Row],[CMAQ]:[TAP Flex]])</f>
        <v>0</v>
      </c>
      <c r="AC7" s="162">
        <f>SUMIFS(Table_Query_from_MS_Access_Database_16[[#All],[Total]],Table_Query_from_MS_Access_Database_16[[#All],[Transaction Year]],"2018",Table_Query_from_MS_Access_Database_16[[#All],[Transaction Type]],"loan out")</f>
        <v>0</v>
      </c>
      <c r="AD7" s="99"/>
    </row>
    <row r="8" spans="1:30" s="92" customFormat="1" ht="13.5" x14ac:dyDescent="0.25">
      <c r="J8" s="98"/>
      <c r="K8" s="98"/>
      <c r="L8" s="98"/>
      <c r="M8" s="156" t="s">
        <v>76</v>
      </c>
      <c r="N8" s="168">
        <f>SUMIFS(Table_Query_from_MS_Access_Database[[#All],[HURF Exchange]],Table_Query_from_MS_Access_Database[[#All],[Transaction Year]],"2018",Table_Query_from_MS_Access_Database[[#All],[Transaction Type]],"repayment in")</f>
        <v>0</v>
      </c>
      <c r="O8" s="185">
        <f>SUMIFS(Table_Query_from_MS_Access_Database[[#All],[CMAQ]],Table_Query_from_MS_Access_Database[[#All],[Transaction Year]],"2018",Table_Query_from_MS_Access_Database[[#All],[Transaction Type]],"repayment in")</f>
        <v>0</v>
      </c>
      <c r="P8" s="125">
        <f>SUMIFS(Table_Query_from_MS_Access_Database[[#All],[CMAQ 25]],Table_Query_from_MS_Access_Database[[#All],[Transaction Year]],"2018",Table_Query_from_MS_Access_Database[[#All],[Transaction Type]],"repayment in")</f>
        <v>0</v>
      </c>
      <c r="Q8" s="125">
        <f>SUMIFS(Table_Query_from_MS_Access_Database[[#All],[HSIP]],Table_Query_from_MS_Access_Database[[#All],[Transaction Year]],"2018",Table_Query_from_MS_Access_Database[[#All],[Transaction Type]],"repayment in")</f>
        <v>324440</v>
      </c>
      <c r="R8" s="125">
        <f>SUMIFS(Table_Query_from_MS_Access_Database[[#All],[PLAN]],Table_Query_from_MS_Access_Database[[#All],[PLAN]],"2018",Table_Query_from_MS_Access_Database[[#All],[Transaction Type]],"repayment in")</f>
        <v>0</v>
      </c>
      <c r="S8" s="125">
        <f>SUMIFS(Table_Query_from_MS_Access_Database[[#All],[SPR]],Table_Query_from_MS_Access_Database[[#All],[Transaction Year]],"2018",Table_Query_from_MS_Access_Database[[#All],[Transaction Type]],"repayment in")</f>
        <v>0</v>
      </c>
      <c r="T8" s="125">
        <f>SUMIFS(Table_Query_from_MS_Access_Database[[#All],[STP &lt;5]],Table_Query_from_MS_Access_Database[[#All],[HSIP]],"2018",Table_Query_from_MS_Access_Database[[#All],[Transaction Type]],"repayment in")</f>
        <v>0</v>
      </c>
      <c r="U8" s="125">
        <f>SUMIFS(Table_Query_from_MS_Access_Database[[#All],[STP 5-2]],Table_Query_from_MS_Access_Database[[#All],[PLAN]],"2018",Table_Query_from_MS_Access_Database[[#All],[Transaction Type]],"repayment in")</f>
        <v>0</v>
      </c>
      <c r="V8" s="125">
        <f>SUMIFS(Table_Query_from_MS_Access_Database[[#All],[STP &gt;200]],Table_Query_from_MS_Access_Database[[#All],[Transaction Year]],"2018",Table_Query_from_MS_Access_Database[[#All],[Transaction Type]],"repayment in")</f>
        <v>0</v>
      </c>
      <c r="W8" s="125">
        <f>SUMIFS(Table_Query_from_MS_Access_Database[[#All],[STP Flex]],Table_Query_from_MS_Access_Database[[#All],[Transaction Year]],"2018",Table_Query_from_MS_Access_Database[[#All],[Transaction Type]],"repayment in")</f>
        <v>0</v>
      </c>
      <c r="X8" s="125">
        <f>SUMIFS(Table_Query_from_MS_Access_Database[[#All],[TAP &lt;5]],Table_Query_from_MS_Access_Database[[#All],[Transaction Year]],"2018",Table_Query_from_MS_Access_Database[[#All],[Transaction Type]],"repayment in")</f>
        <v>0</v>
      </c>
      <c r="Y8" s="125">
        <f>SUMIFS(Table_Query_from_MS_Access_Database[[#All],[TAP 5-2]],Table_Query_from_MS_Access_Database[[#All],[Transaction Year]],"2018",Table_Query_from_MS_Access_Database[[#All],[Transaction Type]],"repayment in")</f>
        <v>0</v>
      </c>
      <c r="Z8" s="125">
        <f>SUMIFS(Table_Query_from_MS_Access_Database[[#All],[TAP &gt;200]],Table_Query_from_MS_Access_Database[[#All],[Transaction Year]],"2018",Table_Query_from_MS_Access_Database[[#All],[Transaction Type]],"repayment in")</f>
        <v>0</v>
      </c>
      <c r="AA8" s="125">
        <f>SUMIFS(Table_Query_from_MS_Access_Database[[#All],[TAP Flex]],Table_Query_from_MS_Access_Database[[#All],[Transaction Year]],"2018",Table_Query_from_MS_Access_Database[[#All],[Transaction Type]],"repayment in")</f>
        <v>0</v>
      </c>
      <c r="AB8" s="167">
        <f>SUM(Table1[[#This Row],[CMAQ]:[TAP Flex]])</f>
        <v>324440</v>
      </c>
      <c r="AC8" s="162">
        <f>SUMIFS(Table_Query_from_MS_Access_Database_16[[#All],[Total]],Table_Query_from_MS_Access_Database_16[[#All],[Transaction Year]],"2018",Table_Query_from_MS_Access_Database_16[[#All],[Transaction Type]],"repayment In")</f>
        <v>0</v>
      </c>
      <c r="AD8" s="99"/>
    </row>
    <row r="9" spans="1:30" s="92" customFormat="1" ht="13.5" x14ac:dyDescent="0.25">
      <c r="A9" s="206" t="s">
        <v>146</v>
      </c>
      <c r="B9" s="206"/>
      <c r="C9" s="206"/>
      <c r="D9" s="206"/>
      <c r="E9" s="206"/>
      <c r="F9" s="206"/>
      <c r="G9" s="206"/>
      <c r="H9" s="206"/>
      <c r="I9" s="206"/>
      <c r="J9" s="206"/>
      <c r="K9" s="206"/>
      <c r="L9" s="206"/>
      <c r="M9" s="157" t="s">
        <v>77</v>
      </c>
      <c r="N9" s="168">
        <f>SUMIFS(Table_Query_from_MS_Access_Database[[#All],[HURF Exchange]],Table_Query_from_MS_Access_Database[[#All],[Transaction Year]],"2018",Table_Query_from_MS_Access_Database[[#All],[Transaction Type]],"repayment Out")</f>
        <v>0</v>
      </c>
      <c r="O9" s="185">
        <f>SUMIFS(Table_Query_from_MS_Access_Database[[#All],[CMAQ]],Table_Query_from_MS_Access_Database[[#All],[Transaction Year]],"2018",Table_Query_from_MS_Access_Database[[#All],[Transaction Type]],"repayment Out")</f>
        <v>0</v>
      </c>
      <c r="P9" s="125">
        <f>SUMIFS(Table_Query_from_MS_Access_Database[[#All],[CMAQ 25]],Table_Query_from_MS_Access_Database[[#All],[Transaction Year]],"2018",Table_Query_from_MS_Access_Database[[#All],[Transaction Type]],"repayment Out")</f>
        <v>0</v>
      </c>
      <c r="Q9" s="125">
        <f>SUMIFS(Table_Query_from_MS_Access_Database[[#All],[HSIP]],Table_Query_from_MS_Access_Database[[#All],[Transaction Year]],"2018",Table_Query_from_MS_Access_Database[[#All],[Transaction Type]],"repayment Out")</f>
        <v>0</v>
      </c>
      <c r="R9" s="125">
        <f>SUMIFS(Table_Query_from_MS_Access_Database[[#All],[PLAN]],Table_Query_from_MS_Access_Database[[#All],[PLAN]],"2018",Table_Query_from_MS_Access_Database[[#All],[Transaction Type]],"repayment Out")</f>
        <v>0</v>
      </c>
      <c r="S9" s="125">
        <f>SUMIFS(Table_Query_from_MS_Access_Database[[#All],[SPR]],Table_Query_from_MS_Access_Database[[#All],[Transaction Year]],"2018",Table_Query_from_MS_Access_Database[[#All],[Transaction Type]],"repayment Out")</f>
        <v>0</v>
      </c>
      <c r="T9" s="125">
        <f>SUMIFS(Table_Query_from_MS_Access_Database[[#All],[STP &lt;5]],Table_Query_from_MS_Access_Database[[#All],[HSIP]],"2018",Table_Query_from_MS_Access_Database[[#All],[Transaction Type]],"repayment Out")</f>
        <v>0</v>
      </c>
      <c r="U9" s="125">
        <f>SUMIFS(Table_Query_from_MS_Access_Database[[#All],[STP 5-2]],Table_Query_from_MS_Access_Database[[#All],[PLAN]],"2018",Table_Query_from_MS_Access_Database[[#All],[Transaction Type]],"repayment Out")</f>
        <v>0</v>
      </c>
      <c r="V9" s="125">
        <f>SUMIFS(Table_Query_from_MS_Access_Database[[#All],[STP &gt;200]],Table_Query_from_MS_Access_Database[[#All],[Transaction Year]],"2018",Table_Query_from_MS_Access_Database[[#All],[Transaction Type]],"repayment Out")</f>
        <v>0</v>
      </c>
      <c r="W9" s="125">
        <f>SUMIFS(Table_Query_from_MS_Access_Database[[#All],[STP Flex]],Table_Query_from_MS_Access_Database[[#All],[Transaction Year]],"2018",Table_Query_from_MS_Access_Database[[#All],[Transaction Type]],"repayment Out")</f>
        <v>-978761</v>
      </c>
      <c r="X9" s="125">
        <f>SUMIFS(Table_Query_from_MS_Access_Database[[#All],[TAP &lt;5]],Table_Query_from_MS_Access_Database[[#All],[Transaction Year]],"2018",Table_Query_from_MS_Access_Database[[#All],[Transaction Type]],"repayment Out")</f>
        <v>0</v>
      </c>
      <c r="Y9" s="125">
        <f>SUMIFS(Table_Query_from_MS_Access_Database[[#All],[TAP 5-2]],Table_Query_from_MS_Access_Database[[#All],[Transaction Year]],"2018",Table_Query_from_MS_Access_Database[[#All],[Transaction Type]],"repayment Out")</f>
        <v>0</v>
      </c>
      <c r="Z9" s="125">
        <f>SUMIFS(Table_Query_from_MS_Access_Database[[#All],[TAP &gt;200]],Table_Query_from_MS_Access_Database[[#All],[Transaction Year]],"2018",Table_Query_from_MS_Access_Database[[#All],[Transaction Type]],"repayment Out")</f>
        <v>0</v>
      </c>
      <c r="AA9" s="125">
        <f>SUMIFS(Table_Query_from_MS_Access_Database[[#All],[TAP Flex]],Table_Query_from_MS_Access_Database[[#All],[Transaction Year]],"2018",Table_Query_from_MS_Access_Database[[#All],[Transaction Type]],"repayment Out")</f>
        <v>0</v>
      </c>
      <c r="AB9" s="167">
        <f>SUM(Table1[[#This Row],[CMAQ]:[TAP Flex]])</f>
        <v>-978761</v>
      </c>
      <c r="AC9" s="162">
        <f>SUMIFS(Table_Query_from_MS_Access_Database_16[[#All],[Total]],Table_Query_from_MS_Access_Database_16[[#All],[Transaction Year]],"2018",Table_Query_from_MS_Access_Database_16[[#All],[Transaction Type]],"repayment out")</f>
        <v>-978761</v>
      </c>
      <c r="AD9" s="99"/>
    </row>
    <row r="10" spans="1:30" s="92" customFormat="1" ht="13.5" x14ac:dyDescent="0.25">
      <c r="J10" s="98"/>
      <c r="K10" s="98"/>
      <c r="L10" s="98"/>
      <c r="M10" s="157" t="s">
        <v>78</v>
      </c>
      <c r="N10" s="168">
        <f>SUMIFS(Table_Query_from_MS_Access_Database[[#All],[HURF Exchange]],Table_Query_from_MS_Access_Database[[#All],[Transaction Year]],"2018",Table_Query_from_MS_Access_Database[[#All],[Transaction Type]],"Transfer in")</f>
        <v>0</v>
      </c>
      <c r="O10" s="185">
        <f>SUMIFS(Table_Query_from_MS_Access_Database[[#All],[CMAQ]],Table_Query_from_MS_Access_Database[[#All],[Transaction Year]],"2018",Table_Query_from_MS_Access_Database[[#All],[Transaction Type]],"Transfer in")</f>
        <v>0</v>
      </c>
      <c r="P10" s="125">
        <f>SUMIFS(Table_Query_from_MS_Access_Database[[#All],[CMAQ 25]],Table_Query_from_MS_Access_Database[[#All],[Transaction Year]],"2018",Table_Query_from_MS_Access_Database[[#All],[Transaction Type]],"Transfer in")</f>
        <v>0</v>
      </c>
      <c r="Q10" s="125">
        <f>SUMIFS(Table_Query_from_MS_Access_Database[[#All],[HSIP]],Table_Query_from_MS_Access_Database[[#All],[Transaction Year]],"2018",Table_Query_from_MS_Access_Database[[#All],[Transaction Type]],"Transfer in")</f>
        <v>776983</v>
      </c>
      <c r="R10" s="125">
        <f>SUMIFS(Table_Query_from_MS_Access_Database[[#All],[PLAN]],Table_Query_from_MS_Access_Database[[#All],[PLAN]],"2018",Table_Query_from_MS_Access_Database[[#All],[Transaction Type]],"Transfer in")</f>
        <v>0</v>
      </c>
      <c r="S10" s="125">
        <f>SUMIFS(Table_Query_from_MS_Access_Database[[#All],[SPR]],Table_Query_from_MS_Access_Database[[#All],[Transaction Year]],"2018",Table_Query_from_MS_Access_Database[[#All],[Transaction Type]],"Transfer in")</f>
        <v>0</v>
      </c>
      <c r="T10" s="125">
        <f>SUMIFS(Table_Query_from_MS_Access_Database[[#All],[STP &lt;5]],Table_Query_from_MS_Access_Database[[#All],[HSIP]],"2018",Table_Query_from_MS_Access_Database[[#All],[Transaction Type]],"Transfer in")</f>
        <v>0</v>
      </c>
      <c r="U10" s="125">
        <f>SUMIFS(Table_Query_from_MS_Access_Database[[#All],[STP 5-2]],Table_Query_from_MS_Access_Database[[#All],[PLAN]],"2018",Table_Query_from_MS_Access_Database[[#All],[Transaction Type]],"Transfer in")</f>
        <v>0</v>
      </c>
      <c r="V10" s="125">
        <f>SUMIFS(Table_Query_from_MS_Access_Database[[#All],[STP &gt;200]],Table_Query_from_MS_Access_Database[[#All],[Transaction Year]],"2018",Table_Query_from_MS_Access_Database[[#All],[Transaction Type]],"Transfer in")</f>
        <v>0</v>
      </c>
      <c r="W10" s="125">
        <f>SUMIFS(Table_Query_from_MS_Access_Database[[#All],[STP Flex]],Table_Query_from_MS_Access_Database[[#All],[Transaction Year]],"2018",Table_Query_from_MS_Access_Database[[#All],[Transaction Type]],"Transfer in")</f>
        <v>0</v>
      </c>
      <c r="X10" s="125">
        <f>SUMIFS(Table_Query_from_MS_Access_Database[[#All],[TAP &lt;5]],Table_Query_from_MS_Access_Database[[#All],[Transaction Year]],"2018",Table_Query_from_MS_Access_Database[[#All],[Transaction Type]],"Transfer in")</f>
        <v>0</v>
      </c>
      <c r="Y10" s="125">
        <f>SUMIFS(Table_Query_from_MS_Access_Database[[#All],[TAP 5-2]],Table_Query_from_MS_Access_Database[[#All],[Transaction Year]],"2018",Table_Query_from_MS_Access_Database[[#All],[Transaction Type]],"Transfer in")</f>
        <v>0</v>
      </c>
      <c r="Z10" s="125">
        <f>SUMIFS(Table_Query_from_MS_Access_Database[[#All],[TAP &gt;200]],Table_Query_from_MS_Access_Database[[#All],[Transaction Year]],"2018",Table_Query_from_MS_Access_Database[[#All],[Transaction Type]],"Transfer in")</f>
        <v>0</v>
      </c>
      <c r="AA10" s="125">
        <f>SUMIFS(Table_Query_from_MS_Access_Database[[#All],[TAP Flex]],Table_Query_from_MS_Access_Database[[#All],[Transaction Year]],"2018",Table_Query_from_MS_Access_Database[[#All],[Transaction Type]],"Transfer in")</f>
        <v>0</v>
      </c>
      <c r="AB10" s="167">
        <f>SUM(Table1[[#This Row],[CMAQ]:[TAP Flex]])</f>
        <v>776983</v>
      </c>
      <c r="AC10" s="162">
        <f>SUMIFS(Table_Query_from_MS_Access_Database_16[[#All],[Total]],Table_Query_from_MS_Access_Database_16[[#All],[Transaction Year]],"2018",Table_Query_from_MS_Access_Database_16[[#All],[Transaction Type]],"transfer In")</f>
        <v>776983</v>
      </c>
    </row>
    <row r="11" spans="1:30" s="92" customFormat="1" ht="13.5" x14ac:dyDescent="0.25">
      <c r="F11" s="122"/>
      <c r="G11" s="122"/>
      <c r="J11" s="98"/>
      <c r="K11" s="98"/>
      <c r="L11" s="98"/>
      <c r="M11" s="157" t="s">
        <v>79</v>
      </c>
      <c r="N11" s="168">
        <f>SUMIFS(Table_Query_from_MS_Access_Database[[#All],[HURF Exchange]],Table_Query_from_MS_Access_Database[[#All],[Transaction Year]],"2018",Table_Query_from_MS_Access_Database[[#All],[Transaction Type]],"Transfer Out")</f>
        <v>0</v>
      </c>
      <c r="O11" s="185">
        <f>SUMIFS(Table_Query_from_MS_Access_Database[[#All],[CMAQ]],Table_Query_from_MS_Access_Database[[#All],[Transaction Year]],"2018",Table_Query_from_MS_Access_Database[[#All],[Transaction Type]],"Transfer Out")</f>
        <v>0</v>
      </c>
      <c r="P11" s="125">
        <f>SUMIFS(Table_Query_from_MS_Access_Database[[#All],[CMAQ 25]],Table_Query_from_MS_Access_Database[[#All],[Transaction Year]],"2018",Table_Query_from_MS_Access_Database[[#All],[Transaction Type]],"Transfer Out")</f>
        <v>0</v>
      </c>
      <c r="Q11" s="125">
        <f>SUMIFS(Table_Query_from_MS_Access_Database[[#All],[HSIP]],Table_Query_from_MS_Access_Database[[#All],[Transaction Year]],"2018",Table_Query_from_MS_Access_Database[[#All],[Transaction Type]],"Transfer Out")</f>
        <v>0</v>
      </c>
      <c r="R11" s="125">
        <f>SUMIFS(Table_Query_from_MS_Access_Database[[#All],[PLAN]],Table_Query_from_MS_Access_Database[[#All],[PLAN]],"2018",Table_Query_from_MS_Access_Database[[#All],[Transaction Type]],"Transfer Out")</f>
        <v>0</v>
      </c>
      <c r="S11" s="125">
        <f>SUMIFS(Table_Query_from_MS_Access_Database[[#All],[SPR]],Table_Query_from_MS_Access_Database[[#All],[Transaction Year]],"2018",Table_Query_from_MS_Access_Database[[#All],[Transaction Type]],"Transfer Out")</f>
        <v>0</v>
      </c>
      <c r="T11" s="125">
        <f>SUMIFS(Table_Query_from_MS_Access_Database[[#All],[STP &lt;5]],Table_Query_from_MS_Access_Database[[#All],[HSIP]],"2018",Table_Query_from_MS_Access_Database[[#All],[Transaction Type]],"Transfer Out")</f>
        <v>0</v>
      </c>
      <c r="U11" s="125">
        <f>SUMIFS(Table_Query_from_MS_Access_Database[[#All],[STP 5-2]],Table_Query_from_MS_Access_Database[[#All],[PLAN]],"2018",Table_Query_from_MS_Access_Database[[#All],[Transaction Type]],"Transfer Out")</f>
        <v>0</v>
      </c>
      <c r="V11" s="125">
        <f>SUMIFS(Table_Query_from_MS_Access_Database[[#All],[STP &gt;200]],Table_Query_from_MS_Access_Database[[#All],[Transaction Year]],"2018",Table_Query_from_MS_Access_Database[[#All],[Transaction Type]],"Transfer Out")</f>
        <v>0</v>
      </c>
      <c r="W11" s="125">
        <f>SUMIFS(Table_Query_from_MS_Access_Database[[#All],[STP Flex]],Table_Query_from_MS_Access_Database[[#All],[Transaction Year]],"2018",Table_Query_from_MS_Access_Database[[#All],[Transaction Type]],"Transfer Out")</f>
        <v>0</v>
      </c>
      <c r="X11" s="125">
        <f>SUMIFS(Table_Query_from_MS_Access_Database[[#All],[TAP &lt;5]],Table_Query_from_MS_Access_Database[[#All],[Transaction Year]],"2018",Table_Query_from_MS_Access_Database[[#All],[Transaction Type]],"Transfer Out")</f>
        <v>0</v>
      </c>
      <c r="Y11" s="125">
        <f>SUMIFS(Table_Query_from_MS_Access_Database[[#All],[TAP 5-2]],Table_Query_from_MS_Access_Database[[#All],[Transaction Year]],"2018",Table_Query_from_MS_Access_Database[[#All],[Transaction Type]],"Transfer Out")</f>
        <v>0</v>
      </c>
      <c r="Z11" s="125">
        <f>SUMIFS(Table_Query_from_MS_Access_Database[[#All],[TAP &gt;200]],Table_Query_from_MS_Access_Database[[#All],[Transaction Year]],"2018",Table_Query_from_MS_Access_Database[[#All],[Transaction Type]],"Transfer Out")</f>
        <v>0</v>
      </c>
      <c r="AA11" s="125">
        <f>SUMIFS(Table_Query_from_MS_Access_Database[[#All],[TAP Flex]],Table_Query_from_MS_Access_Database[[#All],[Transaction Year]],"2018",Table_Query_from_MS_Access_Database[[#All],[Transaction Type]],"Transfer Out")</f>
        <v>0</v>
      </c>
      <c r="AB11" s="167">
        <f>SUM(Table1[[#This Row],[CMAQ]:[TAP Flex]])</f>
        <v>0</v>
      </c>
      <c r="AC11" s="162">
        <f>SUMIFS(Table_Query_from_MS_Access_Database_16[[#All],[Total]],Table_Query_from_MS_Access_Database_16[[#All],[Transaction Year]],"2018",Table_Query_from_MS_Access_Database_16[[#All],[Transaction Type]],"transfer out")</f>
        <v>0</v>
      </c>
      <c r="AD11" s="102"/>
    </row>
    <row r="12" spans="1:30" s="92" customFormat="1" ht="14.25" thickBot="1" x14ac:dyDescent="0.3">
      <c r="F12" s="122"/>
      <c r="G12" s="122"/>
      <c r="J12" s="98"/>
      <c r="K12" s="98"/>
      <c r="L12" s="98"/>
      <c r="M12" s="158" t="s">
        <v>162</v>
      </c>
      <c r="N12" s="169">
        <v>0</v>
      </c>
      <c r="O12" s="186">
        <v>0</v>
      </c>
      <c r="P12" s="126">
        <v>0</v>
      </c>
      <c r="Q12" s="126">
        <v>0</v>
      </c>
      <c r="R12" s="126">
        <v>0</v>
      </c>
      <c r="S12" s="126">
        <v>0</v>
      </c>
      <c r="T12" s="126">
        <v>0</v>
      </c>
      <c r="U12" s="126">
        <v>0</v>
      </c>
      <c r="V12" s="126">
        <v>0</v>
      </c>
      <c r="W12" s="126">
        <v>0</v>
      </c>
      <c r="X12" s="126">
        <v>0</v>
      </c>
      <c r="Y12" s="126">
        <v>0</v>
      </c>
      <c r="Z12" s="126">
        <v>0</v>
      </c>
      <c r="AA12" s="126">
        <v>0</v>
      </c>
      <c r="AB12" s="167">
        <f>SUM(Table1[[#This Row],[CMAQ]:[TAP Flex]])</f>
        <v>0</v>
      </c>
      <c r="AC12" s="163">
        <v>0</v>
      </c>
      <c r="AD12" s="102"/>
    </row>
    <row r="13" spans="1:30" s="92" customFormat="1" ht="27.75" thickBot="1" x14ac:dyDescent="0.3">
      <c r="J13" s="98"/>
      <c r="K13" s="98"/>
      <c r="L13" s="98"/>
      <c r="M13" s="159" t="s">
        <v>147</v>
      </c>
      <c r="N13" s="170">
        <f t="shared" ref="N13" si="0">SUM(N4:N12)</f>
        <v>0</v>
      </c>
      <c r="O13" s="187">
        <f t="shared" ref="O13:AC13" si="1">SUM(O4:O12)</f>
        <v>57645010.399999999</v>
      </c>
      <c r="P13" s="127">
        <f t="shared" si="1"/>
        <v>724217</v>
      </c>
      <c r="Q13" s="127">
        <f t="shared" si="1"/>
        <v>1101423</v>
      </c>
      <c r="R13" s="127">
        <f t="shared" si="1"/>
        <v>4238129</v>
      </c>
      <c r="S13" s="127">
        <f t="shared" si="1"/>
        <v>1250000</v>
      </c>
      <c r="T13" s="127">
        <f t="shared" si="1"/>
        <v>1220668</v>
      </c>
      <c r="U13" s="127">
        <f t="shared" si="1"/>
        <v>2603773</v>
      </c>
      <c r="V13" s="127">
        <f t="shared" si="1"/>
        <v>112886935.44</v>
      </c>
      <c r="W13" s="127">
        <f t="shared" si="1"/>
        <v>-491873</v>
      </c>
      <c r="X13" s="127">
        <f t="shared" si="1"/>
        <v>153739</v>
      </c>
      <c r="Y13" s="127">
        <f t="shared" si="1"/>
        <v>349168</v>
      </c>
      <c r="Z13" s="127">
        <f t="shared" si="1"/>
        <v>9394496.1900000013</v>
      </c>
      <c r="AA13" s="127">
        <f t="shared" si="1"/>
        <v>0</v>
      </c>
      <c r="AB13" s="127">
        <f t="shared" si="1"/>
        <v>191075686.03</v>
      </c>
      <c r="AC13" s="164">
        <f t="shared" si="1"/>
        <v>118515561.78</v>
      </c>
      <c r="AD13" s="102"/>
    </row>
    <row r="14" spans="1:30" x14ac:dyDescent="0.25">
      <c r="N14" s="40"/>
      <c r="O14" s="41"/>
      <c r="P14" s="41"/>
      <c r="Q14" s="41"/>
      <c r="R14" s="41"/>
      <c r="S14" s="41"/>
      <c r="T14" s="39"/>
      <c r="V14" s="64"/>
      <c r="X14" s="36"/>
      <c r="Y14" s="36"/>
    </row>
    <row r="15" spans="1:30" ht="17.25" x14ac:dyDescent="0.25">
      <c r="A15" s="203" t="s">
        <v>65</v>
      </c>
      <c r="B15" s="203"/>
      <c r="C15" s="203"/>
      <c r="D15" s="203"/>
      <c r="J15" s="209" t="s">
        <v>67</v>
      </c>
      <c r="K15" s="210"/>
      <c r="L15" s="210"/>
      <c r="M15" s="211"/>
      <c r="N15" s="42"/>
      <c r="R15" s="43"/>
      <c r="S15" s="43"/>
      <c r="T15" s="43"/>
      <c r="U15" s="43"/>
      <c r="V15" s="64"/>
      <c r="W15" s="65"/>
      <c r="X15" s="36"/>
      <c r="Y15" s="36"/>
    </row>
    <row r="16" spans="1:30" s="46" customFormat="1" ht="30" x14ac:dyDescent="0.25">
      <c r="A16" s="50" t="s">
        <v>1</v>
      </c>
      <c r="B16" s="50" t="s">
        <v>0</v>
      </c>
      <c r="C16" s="50" t="s">
        <v>3</v>
      </c>
      <c r="D16" s="50" t="s">
        <v>89</v>
      </c>
      <c r="E16" s="50" t="s">
        <v>2</v>
      </c>
      <c r="F16" s="50" t="s">
        <v>50</v>
      </c>
      <c r="G16" s="50" t="s">
        <v>51</v>
      </c>
      <c r="H16" s="50" t="s">
        <v>52</v>
      </c>
      <c r="I16" s="50" t="s">
        <v>225</v>
      </c>
      <c r="J16" s="50" t="s">
        <v>53</v>
      </c>
      <c r="K16" s="50" t="s">
        <v>54</v>
      </c>
      <c r="L16" s="50" t="s">
        <v>55</v>
      </c>
      <c r="M16" s="50" t="s">
        <v>56</v>
      </c>
      <c r="N16" s="51" t="s">
        <v>261</v>
      </c>
      <c r="O16" s="51" t="s">
        <v>43</v>
      </c>
      <c r="P16" s="51" t="s">
        <v>44</v>
      </c>
      <c r="Q16" s="51" t="s">
        <v>4</v>
      </c>
      <c r="R16" s="52" t="s">
        <v>45</v>
      </c>
      <c r="S16" s="52" t="s">
        <v>5</v>
      </c>
      <c r="T16" s="52" t="s">
        <v>221</v>
      </c>
      <c r="U16" s="52" t="s">
        <v>257</v>
      </c>
      <c r="V16" s="52" t="s">
        <v>99</v>
      </c>
      <c r="W16" s="52" t="s">
        <v>57</v>
      </c>
      <c r="X16" s="52" t="s">
        <v>223</v>
      </c>
      <c r="Y16" s="52" t="s">
        <v>258</v>
      </c>
      <c r="Z16" s="52" t="s">
        <v>100</v>
      </c>
      <c r="AA16" s="52" t="s">
        <v>236</v>
      </c>
      <c r="AB16" s="52" t="s">
        <v>92</v>
      </c>
      <c r="AC16" s="52" t="s">
        <v>97</v>
      </c>
      <c r="AD16" s="128"/>
    </row>
    <row r="17" spans="1:30" s="48" customFormat="1" ht="54" x14ac:dyDescent="0.25">
      <c r="A17" s="92" t="s">
        <v>271</v>
      </c>
      <c r="B17" s="92" t="s">
        <v>274</v>
      </c>
      <c r="C17" s="92" t="s">
        <v>185</v>
      </c>
      <c r="D17" s="92" t="s">
        <v>22</v>
      </c>
      <c r="E17" s="92" t="s">
        <v>272</v>
      </c>
      <c r="F17" s="92" t="s">
        <v>186</v>
      </c>
      <c r="G17" s="92" t="s">
        <v>101</v>
      </c>
      <c r="H17" s="92" t="s">
        <v>191</v>
      </c>
      <c r="I17" s="195" t="str">
        <f>CONCATENATE(Table_Query_from_MS_Access_Database_1[RTE],Table_Query_from_MS_Access_Database_1[SEC],Table_Query_from_MS_Access_Database_1[SEQ])</f>
        <v>MMA0239</v>
      </c>
      <c r="J17" s="189">
        <v>43374</v>
      </c>
      <c r="K17" s="177">
        <v>43374</v>
      </c>
      <c r="L17" s="177">
        <v>43374</v>
      </c>
      <c r="M17" s="177">
        <v>43374</v>
      </c>
      <c r="N17" s="174"/>
      <c r="O17" s="196"/>
      <c r="P17" s="174"/>
      <c r="Q17" s="174"/>
      <c r="R17" s="174"/>
      <c r="S17" s="174"/>
      <c r="T17" s="174"/>
      <c r="U17" s="174"/>
      <c r="V17" s="174">
        <v>12613856</v>
      </c>
      <c r="W17" s="174"/>
      <c r="X17" s="174"/>
      <c r="Y17" s="174"/>
      <c r="Z17" s="174"/>
      <c r="AA17" s="174"/>
      <c r="AB17" s="174">
        <f>SUM(Table_Query_from_MS_Access_Database_1[[#This Row],[HURF EX]:[TAP Flex]])</f>
        <v>12613856</v>
      </c>
      <c r="AC17" s="173">
        <f>AC13-Table_Query_from_MS_Access_Database_1[TOTAL OF AMOUNT]</f>
        <v>105901705.78</v>
      </c>
    </row>
    <row r="18" spans="1:30" s="48" customFormat="1" ht="28.9" customHeight="1" x14ac:dyDescent="0.25">
      <c r="A18" s="92" t="s">
        <v>409</v>
      </c>
      <c r="B18" s="92"/>
      <c r="C18" s="92" t="s">
        <v>49</v>
      </c>
      <c r="D18" s="92" t="s">
        <v>8</v>
      </c>
      <c r="E18" s="92" t="s">
        <v>410</v>
      </c>
      <c r="F18" s="92" t="s">
        <v>49</v>
      </c>
      <c r="G18" s="92" t="s">
        <v>411</v>
      </c>
      <c r="H18" s="92" t="s">
        <v>277</v>
      </c>
      <c r="I18" s="195" t="str">
        <f>CONCATENATE(Table_Query_from_MS_Access_Database_1[RTE],Table_Query_from_MS_Access_Database_1[SEC],Table_Query_from_MS_Access_Database_1[SEQ])</f>
        <v>MAGS019</v>
      </c>
      <c r="J18" s="189">
        <v>43374</v>
      </c>
      <c r="K18" s="177">
        <v>43374</v>
      </c>
      <c r="L18" s="177">
        <v>43374</v>
      </c>
      <c r="M18" s="177">
        <v>43374</v>
      </c>
      <c r="N18" s="174"/>
      <c r="O18" s="196"/>
      <c r="P18" s="174"/>
      <c r="Q18" s="174"/>
      <c r="R18" s="174"/>
      <c r="S18" s="174">
        <v>1250000</v>
      </c>
      <c r="T18" s="174"/>
      <c r="U18" s="174"/>
      <c r="V18" s="174"/>
      <c r="W18" s="174"/>
      <c r="X18" s="174"/>
      <c r="Y18" s="174"/>
      <c r="Z18" s="174"/>
      <c r="AA18" s="174"/>
      <c r="AB18" s="174">
        <f>SUM(Table_Query_from_MS_Access_Database_1[[#This Row],[HURF EX]:[TAP Flex]])</f>
        <v>1250000</v>
      </c>
      <c r="AC18" s="174">
        <f>AC17-Table_Query_from_MS_Access_Database_1[TOTAL OF AMOUNT]</f>
        <v>104651705.78</v>
      </c>
    </row>
    <row r="19" spans="1:30" s="48" customFormat="1" ht="13.5" x14ac:dyDescent="0.25">
      <c r="A19" s="92" t="s">
        <v>412</v>
      </c>
      <c r="B19" s="92" t="s">
        <v>413</v>
      </c>
      <c r="C19" s="92" t="s">
        <v>187</v>
      </c>
      <c r="D19" s="92" t="s">
        <v>8</v>
      </c>
      <c r="E19" s="92" t="s">
        <v>414</v>
      </c>
      <c r="F19" s="92" t="s">
        <v>188</v>
      </c>
      <c r="G19" s="92" t="s">
        <v>101</v>
      </c>
      <c r="H19" s="92" t="s">
        <v>415</v>
      </c>
      <c r="I19" s="195" t="str">
        <f>CONCATENATE(Table_Query_from_MS_Access_Database_1[RTE],Table_Query_from_MS_Access_Database_1[SEC],Table_Query_from_MS_Access_Database_1[SEQ])</f>
        <v>PHX0339</v>
      </c>
      <c r="J19" s="189"/>
      <c r="K19" s="177">
        <v>43388</v>
      </c>
      <c r="L19" s="177">
        <v>43389</v>
      </c>
      <c r="M19" s="177">
        <v>43389</v>
      </c>
      <c r="N19" s="174"/>
      <c r="O19" s="196"/>
      <c r="P19" s="174"/>
      <c r="Q19" s="174"/>
      <c r="R19" s="174"/>
      <c r="S19" s="174"/>
      <c r="T19" s="174"/>
      <c r="U19" s="174"/>
      <c r="V19" s="174"/>
      <c r="W19" s="174"/>
      <c r="X19" s="174"/>
      <c r="Y19" s="174"/>
      <c r="Z19" s="174">
        <v>-20229</v>
      </c>
      <c r="AA19" s="174"/>
      <c r="AB19" s="174">
        <f>SUM(Table_Query_from_MS_Access_Database_1[[#This Row],[HURF EX]:[TAP Flex]])</f>
        <v>-20229</v>
      </c>
      <c r="AC19" s="174">
        <f>AC18-Table_Query_from_MS_Access_Database_1[TOTAL OF AMOUNT]</f>
        <v>104671934.78</v>
      </c>
    </row>
    <row r="20" spans="1:30" s="48" customFormat="1" ht="27" x14ac:dyDescent="0.25">
      <c r="A20" s="92" t="s">
        <v>416</v>
      </c>
      <c r="B20" s="92" t="s">
        <v>417</v>
      </c>
      <c r="C20" s="92" t="s">
        <v>187</v>
      </c>
      <c r="D20" s="92" t="s">
        <v>8</v>
      </c>
      <c r="E20" s="92" t="s">
        <v>418</v>
      </c>
      <c r="F20" s="92" t="s">
        <v>188</v>
      </c>
      <c r="G20" s="92" t="s">
        <v>101</v>
      </c>
      <c r="H20" s="92" t="s">
        <v>419</v>
      </c>
      <c r="I20" s="195" t="str">
        <f>CONCATENATE(Table_Query_from_MS_Access_Database_1[RTE],Table_Query_from_MS_Access_Database_1[SEC],Table_Query_from_MS_Access_Database_1[SEQ])</f>
        <v>PHX0336</v>
      </c>
      <c r="J20" s="189"/>
      <c r="K20" s="177">
        <v>43388</v>
      </c>
      <c r="L20" s="177">
        <v>43389</v>
      </c>
      <c r="M20" s="177">
        <v>43389</v>
      </c>
      <c r="N20" s="174"/>
      <c r="O20" s="196"/>
      <c r="P20" s="174"/>
      <c r="Q20" s="174"/>
      <c r="R20" s="174"/>
      <c r="S20" s="174"/>
      <c r="T20" s="174"/>
      <c r="U20" s="174"/>
      <c r="V20" s="174"/>
      <c r="W20" s="174"/>
      <c r="X20" s="174"/>
      <c r="Y20" s="174"/>
      <c r="Z20" s="174">
        <v>-20746</v>
      </c>
      <c r="AA20" s="174"/>
      <c r="AB20" s="174">
        <f>SUM(Table_Query_from_MS_Access_Database_1[[#This Row],[HURF EX]:[TAP Flex]])</f>
        <v>-20746</v>
      </c>
      <c r="AC20" s="174">
        <f>AC19-Table_Query_from_MS_Access_Database_1[TOTAL OF AMOUNT]</f>
        <v>104692680.78</v>
      </c>
    </row>
    <row r="21" spans="1:30" s="48" customFormat="1" ht="27" x14ac:dyDescent="0.25">
      <c r="A21" s="92" t="s">
        <v>420</v>
      </c>
      <c r="B21" s="92" t="s">
        <v>421</v>
      </c>
      <c r="C21" s="92" t="s">
        <v>163</v>
      </c>
      <c r="D21" s="92" t="s">
        <v>21</v>
      </c>
      <c r="E21" s="92" t="s">
        <v>422</v>
      </c>
      <c r="F21" s="92" t="s">
        <v>164</v>
      </c>
      <c r="G21" s="92" t="s">
        <v>101</v>
      </c>
      <c r="H21" s="92" t="s">
        <v>423</v>
      </c>
      <c r="I21" s="195" t="str">
        <f>CONCATENATE(Table_Query_from_MS_Access_Database_1[RTE],Table_Query_from_MS_Access_Database_1[SEC],Table_Query_from_MS_Access_Database_1[SEQ])</f>
        <v>GLN0252</v>
      </c>
      <c r="J21" s="189"/>
      <c r="K21" s="177">
        <v>43382</v>
      </c>
      <c r="L21" s="177">
        <v>43388</v>
      </c>
      <c r="M21" s="177">
        <v>43389</v>
      </c>
      <c r="N21" s="174"/>
      <c r="O21" s="196"/>
      <c r="P21" s="174"/>
      <c r="Q21" s="174">
        <v>-83341.429999999993</v>
      </c>
      <c r="R21" s="174"/>
      <c r="S21" s="174"/>
      <c r="T21" s="174"/>
      <c r="U21" s="174"/>
      <c r="V21" s="174"/>
      <c r="W21" s="174"/>
      <c r="X21" s="174"/>
      <c r="Y21" s="174"/>
      <c r="Z21" s="174"/>
      <c r="AA21" s="174"/>
      <c r="AB21" s="174">
        <f>SUM(Table_Query_from_MS_Access_Database_1[[#This Row],[HURF EX]:[TAP Flex]])</f>
        <v>-83341.429999999993</v>
      </c>
      <c r="AC21" s="174">
        <f>AC20-Table_Query_from_MS_Access_Database_1[TOTAL OF AMOUNT]</f>
        <v>104776022.21000001</v>
      </c>
    </row>
    <row r="22" spans="1:30" s="91" customFormat="1" ht="13.5" x14ac:dyDescent="0.25">
      <c r="A22" s="92" t="s">
        <v>341</v>
      </c>
      <c r="B22" s="92" t="s">
        <v>342</v>
      </c>
      <c r="C22" s="92" t="s">
        <v>163</v>
      </c>
      <c r="D22" s="92" t="s">
        <v>7</v>
      </c>
      <c r="E22" s="92" t="s">
        <v>343</v>
      </c>
      <c r="F22" s="92" t="s">
        <v>164</v>
      </c>
      <c r="G22" s="92" t="s">
        <v>101</v>
      </c>
      <c r="H22" s="92" t="s">
        <v>344</v>
      </c>
      <c r="I22" s="195" t="str">
        <f>CONCATENATE(Table_Query_from_MS_Access_Database_1[RTE],Table_Query_from_MS_Access_Database_1[SEC],Table_Query_from_MS_Access_Database_1[SEQ])</f>
        <v>GLN0256</v>
      </c>
      <c r="J22" s="189">
        <v>43374</v>
      </c>
      <c r="K22" s="177">
        <v>43382</v>
      </c>
      <c r="L22" s="177">
        <v>43383</v>
      </c>
      <c r="M22" s="177">
        <v>43395</v>
      </c>
      <c r="N22" s="174"/>
      <c r="O22" s="174">
        <v>223402</v>
      </c>
      <c r="P22" s="174"/>
      <c r="Q22" s="174"/>
      <c r="R22" s="174"/>
      <c r="S22" s="174"/>
      <c r="T22" s="174"/>
      <c r="U22" s="174"/>
      <c r="V22" s="174"/>
      <c r="W22" s="174"/>
      <c r="X22" s="174"/>
      <c r="Y22" s="174"/>
      <c r="Z22" s="174"/>
      <c r="AA22" s="174"/>
      <c r="AB22" s="174">
        <f>SUM(Table_Query_from_MS_Access_Database_1[[#This Row],[HURF EX]:[TAP Flex]])</f>
        <v>223402</v>
      </c>
      <c r="AC22" s="174">
        <f>AC21-Table_Query_from_MS_Access_Database_1[TOTAL OF AMOUNT]</f>
        <v>104552620.21000001</v>
      </c>
    </row>
    <row r="23" spans="1:30" s="91" customFormat="1" ht="13.5" x14ac:dyDescent="0.25">
      <c r="A23" s="92" t="s">
        <v>275</v>
      </c>
      <c r="B23" s="92"/>
      <c r="C23" s="92" t="s">
        <v>49</v>
      </c>
      <c r="D23" s="92" t="s">
        <v>22</v>
      </c>
      <c r="E23" s="92" t="s">
        <v>276</v>
      </c>
      <c r="F23" s="92" t="s">
        <v>49</v>
      </c>
      <c r="G23" s="92" t="s">
        <v>256</v>
      </c>
      <c r="H23" s="92" t="s">
        <v>277</v>
      </c>
      <c r="I23" s="195" t="str">
        <f>CONCATENATE(Table_Query_from_MS_Access_Database_1[RTE],Table_Query_from_MS_Access_Database_1[SEC],Table_Query_from_MS_Access_Database_1[SEQ])</f>
        <v>MAGP019</v>
      </c>
      <c r="J23" s="189">
        <v>43374</v>
      </c>
      <c r="K23" s="177">
        <v>43390</v>
      </c>
      <c r="L23" s="177">
        <v>43390</v>
      </c>
      <c r="M23" s="177">
        <v>43396</v>
      </c>
      <c r="N23" s="174"/>
      <c r="O23" s="174"/>
      <c r="P23" s="174"/>
      <c r="Q23" s="174"/>
      <c r="R23" s="174">
        <v>4216991</v>
      </c>
      <c r="S23" s="174"/>
      <c r="T23" s="174"/>
      <c r="U23" s="174"/>
      <c r="V23" s="174"/>
      <c r="W23" s="174"/>
      <c r="X23" s="174"/>
      <c r="Y23" s="174"/>
      <c r="Z23" s="174"/>
      <c r="AA23" s="174"/>
      <c r="AB23" s="174">
        <f>SUM(Table_Query_from_MS_Access_Database_1[[#This Row],[HURF EX]:[TAP Flex]])</f>
        <v>4216991</v>
      </c>
      <c r="AC23" s="174">
        <f>AC22-Table_Query_from_MS_Access_Database_1[TOTAL OF AMOUNT]</f>
        <v>100335629.21000001</v>
      </c>
    </row>
    <row r="24" spans="1:30" s="91" customFormat="1" ht="13.5" x14ac:dyDescent="0.25">
      <c r="A24" s="92" t="s">
        <v>424</v>
      </c>
      <c r="B24" s="92" t="s">
        <v>425</v>
      </c>
      <c r="C24" s="92" t="s">
        <v>183</v>
      </c>
      <c r="D24" s="92" t="s">
        <v>8</v>
      </c>
      <c r="E24" s="92" t="s">
        <v>426</v>
      </c>
      <c r="F24" s="92" t="s">
        <v>184</v>
      </c>
      <c r="G24" s="92" t="s">
        <v>101</v>
      </c>
      <c r="H24" s="92" t="s">
        <v>427</v>
      </c>
      <c r="I24" s="195" t="str">
        <f>CONCATENATE(Table_Query_from_MS_Access_Database_1[RTE],Table_Query_from_MS_Access_Database_1[SEC],Table_Query_from_MS_Access_Database_1[SEQ])</f>
        <v>MES0228</v>
      </c>
      <c r="J24" s="189"/>
      <c r="K24" s="177">
        <v>43395</v>
      </c>
      <c r="L24" s="177">
        <v>43396</v>
      </c>
      <c r="M24" s="177">
        <v>43399</v>
      </c>
      <c r="N24" s="174"/>
      <c r="O24" s="174">
        <v>-6698.41</v>
      </c>
      <c r="P24" s="174"/>
      <c r="Q24" s="174"/>
      <c r="R24" s="174"/>
      <c r="S24" s="174"/>
      <c r="T24" s="174"/>
      <c r="U24" s="174"/>
      <c r="V24" s="174"/>
      <c r="W24" s="174"/>
      <c r="X24" s="174"/>
      <c r="Y24" s="174"/>
      <c r="Z24" s="174"/>
      <c r="AA24" s="174"/>
      <c r="AB24" s="174">
        <f>SUM(Table_Query_from_MS_Access_Database_1[[#This Row],[HURF EX]:[TAP Flex]])</f>
        <v>-6698.41</v>
      </c>
      <c r="AC24" s="174">
        <f>AC23-Table_Query_from_MS_Access_Database_1[TOTAL OF AMOUNT]</f>
        <v>100342327.62</v>
      </c>
    </row>
    <row r="25" spans="1:30" s="48" customFormat="1" ht="27" x14ac:dyDescent="0.25">
      <c r="A25" s="92" t="s">
        <v>284</v>
      </c>
      <c r="B25" s="92" t="s">
        <v>285</v>
      </c>
      <c r="C25" s="92" t="s">
        <v>229</v>
      </c>
      <c r="D25" s="92" t="s">
        <v>7</v>
      </c>
      <c r="E25" s="92" t="s">
        <v>286</v>
      </c>
      <c r="F25" s="92" t="s">
        <v>230</v>
      </c>
      <c r="G25" s="92" t="s">
        <v>200</v>
      </c>
      <c r="H25" s="92" t="s">
        <v>231</v>
      </c>
      <c r="I25" s="195" t="str">
        <f>CONCATENATE(Table_Query_from_MS_Access_Database_1[RTE],Table_Query_from_MS_Access_Database_1[SEC],Table_Query_from_MS_Access_Database_1[SEQ])</f>
        <v>303A225</v>
      </c>
      <c r="J25" s="189">
        <v>43374</v>
      </c>
      <c r="K25" s="177">
        <v>43388</v>
      </c>
      <c r="L25" s="177">
        <v>43389</v>
      </c>
      <c r="M25" s="177">
        <v>43402</v>
      </c>
      <c r="N25" s="174"/>
      <c r="O25" s="174">
        <v>4339686</v>
      </c>
      <c r="P25" s="174"/>
      <c r="Q25" s="174"/>
      <c r="R25" s="174"/>
      <c r="S25" s="174"/>
      <c r="T25" s="174"/>
      <c r="U25" s="174"/>
      <c r="V25" s="174"/>
      <c r="W25" s="174"/>
      <c r="X25" s="174"/>
      <c r="Y25" s="174"/>
      <c r="Z25" s="174"/>
      <c r="AA25" s="174"/>
      <c r="AB25" s="174">
        <f>SUM(Table_Query_from_MS_Access_Database_1[[#This Row],[HURF EX]:[TAP Flex]])</f>
        <v>4339686</v>
      </c>
      <c r="AC25" s="174">
        <f>AC24-Table_Query_from_MS_Access_Database_1[TOTAL OF AMOUNT]</f>
        <v>96002641.620000005</v>
      </c>
      <c r="AD25" s="91"/>
    </row>
    <row r="26" spans="1:30" s="48" customFormat="1" ht="27" x14ac:dyDescent="0.25">
      <c r="A26" s="92" t="s">
        <v>280</v>
      </c>
      <c r="B26" s="92" t="s">
        <v>281</v>
      </c>
      <c r="C26" s="92" t="s">
        <v>229</v>
      </c>
      <c r="D26" s="92" t="s">
        <v>7</v>
      </c>
      <c r="E26" s="92" t="s">
        <v>282</v>
      </c>
      <c r="F26" s="92" t="s">
        <v>230</v>
      </c>
      <c r="G26" s="92" t="s">
        <v>200</v>
      </c>
      <c r="H26" s="92" t="s">
        <v>283</v>
      </c>
      <c r="I26" s="195" t="str">
        <f>CONCATENATE(Table_Query_from_MS_Access_Database_1[RTE],Table_Query_from_MS_Access_Database_1[SEC],Table_Query_from_MS_Access_Database_1[SEQ])</f>
        <v>303A226</v>
      </c>
      <c r="J26" s="189">
        <v>43374</v>
      </c>
      <c r="K26" s="177">
        <v>43388</v>
      </c>
      <c r="L26" s="177">
        <v>43388</v>
      </c>
      <c r="M26" s="177">
        <v>43402</v>
      </c>
      <c r="N26" s="174"/>
      <c r="O26" s="174">
        <v>4339686</v>
      </c>
      <c r="P26" s="174"/>
      <c r="Q26" s="174"/>
      <c r="R26" s="174"/>
      <c r="S26" s="174"/>
      <c r="T26" s="174"/>
      <c r="U26" s="174"/>
      <c r="V26" s="174"/>
      <c r="W26" s="174"/>
      <c r="X26" s="174"/>
      <c r="Y26" s="174"/>
      <c r="Z26" s="174"/>
      <c r="AA26" s="174"/>
      <c r="AB26" s="174">
        <f>SUM(Table_Query_from_MS_Access_Database_1[[#This Row],[HURF EX]:[TAP Flex]])</f>
        <v>4339686</v>
      </c>
      <c r="AC26" s="174">
        <f>AC25-Table_Query_from_MS_Access_Database_1[TOTAL OF AMOUNT]</f>
        <v>91662955.620000005</v>
      </c>
      <c r="AD26" s="91"/>
    </row>
    <row r="27" spans="1:30" s="48" customFormat="1" ht="27" x14ac:dyDescent="0.25">
      <c r="A27" s="92" t="s">
        <v>428</v>
      </c>
      <c r="B27" s="92" t="s">
        <v>429</v>
      </c>
      <c r="C27" s="92" t="s">
        <v>185</v>
      </c>
      <c r="D27" s="92" t="s">
        <v>8</v>
      </c>
      <c r="E27" s="92" t="s">
        <v>430</v>
      </c>
      <c r="F27" s="92" t="s">
        <v>186</v>
      </c>
      <c r="G27" s="92" t="s">
        <v>101</v>
      </c>
      <c r="H27" s="92" t="s">
        <v>192</v>
      </c>
      <c r="I27" s="195" t="str">
        <f>CONCATENATE(Table_Query_from_MS_Access_Database_1[RTE],Table_Query_from_MS_Access_Database_1[SEC],Table_Query_from_MS_Access_Database_1[SEQ])</f>
        <v>MMA0217</v>
      </c>
      <c r="J27" s="189"/>
      <c r="K27" s="177">
        <v>43403</v>
      </c>
      <c r="L27" s="177">
        <v>43404</v>
      </c>
      <c r="M27" s="177">
        <v>43405</v>
      </c>
      <c r="N27" s="174"/>
      <c r="O27" s="196"/>
      <c r="P27" s="174"/>
      <c r="Q27" s="174"/>
      <c r="R27" s="174"/>
      <c r="S27" s="174"/>
      <c r="T27" s="174"/>
      <c r="U27" s="174"/>
      <c r="V27" s="174"/>
      <c r="W27" s="174">
        <v>-250000</v>
      </c>
      <c r="X27" s="174"/>
      <c r="Y27" s="174"/>
      <c r="Z27" s="174"/>
      <c r="AA27" s="174"/>
      <c r="AB27" s="174">
        <f>SUM(Table_Query_from_MS_Access_Database_1[[#This Row],[HURF EX]:[TAP Flex]])</f>
        <v>-250000</v>
      </c>
      <c r="AC27" s="174">
        <f>AC26-Table_Query_from_MS_Access_Database_1[TOTAL OF AMOUNT]</f>
        <v>91912955.620000005</v>
      </c>
      <c r="AD27" s="91"/>
    </row>
    <row r="28" spans="1:30" s="48" customFormat="1" ht="13.5" x14ac:dyDescent="0.25">
      <c r="A28" s="93"/>
      <c r="B28" s="94"/>
      <c r="C28" s="94"/>
      <c r="D28" s="94"/>
      <c r="E28" s="95"/>
      <c r="F28" s="95"/>
      <c r="G28" s="95"/>
      <c r="H28" s="95"/>
      <c r="I28" s="95"/>
      <c r="J28" s="96"/>
      <c r="K28" s="96"/>
      <c r="L28" s="96"/>
      <c r="M28" s="175" t="s">
        <v>81</v>
      </c>
      <c r="N28" s="178">
        <f>+SUM(Table_Query_from_MS_Access_Database_1[[#All],[HURF EX]])</f>
        <v>0</v>
      </c>
      <c r="O28" s="178">
        <f>+SUM(Table_Query_from_MS_Access_Database_1[[#All],[CMAQ]])</f>
        <v>8896075.5899999999</v>
      </c>
      <c r="P28" s="178">
        <f>+SUM(Table_Query_from_MS_Access_Database_1[[#All],[CMAQ 2_5]])</f>
        <v>0</v>
      </c>
      <c r="Q28" s="178">
        <f>+SUM(Table_Query_from_MS_Access_Database_1[[#All],[HSIP]])</f>
        <v>-83341.429999999993</v>
      </c>
      <c r="R28" s="178">
        <f>+SUM(Table_Query_from_MS_Access_Database_1[[#All],[PL]])</f>
        <v>4216991</v>
      </c>
      <c r="S28" s="178">
        <f>+SUM(Table_Query_from_MS_Access_Database_1[[#All],[SPR]])</f>
        <v>1250000</v>
      </c>
      <c r="T28" s="178">
        <f>+SUM(Table_Query_from_MS_Access_Database_1[[#All],[STP &lt;5]])</f>
        <v>0</v>
      </c>
      <c r="U28" s="178">
        <f>+SUM(Table_Query_from_MS_Access_Database_1[[#All],[STP 5-200]])</f>
        <v>0</v>
      </c>
      <c r="V28" s="178">
        <f>+SUM(Table_Query_from_MS_Access_Database_1[[#All],[STP OVER 200K]])</f>
        <v>12613856</v>
      </c>
      <c r="W28" s="178">
        <f>+SUM(Table_Query_from_MS_Access_Database_1[[#All],[STP OTHER]])</f>
        <v>-250000</v>
      </c>
      <c r="X28" s="178">
        <f>+SUM(Table_Query_from_MS_Access_Database_1[[#All],[TAP &lt;5]])</f>
        <v>0</v>
      </c>
      <c r="Y28" s="178">
        <f>+SUM(Table_Query_from_MS_Access_Database_1[[#All],[TAP 5-200]])</f>
        <v>0</v>
      </c>
      <c r="Z28" s="178">
        <f>+SUM(Table_Query_from_MS_Access_Database_1[[#All],[TA OVER 200K]])</f>
        <v>-40975</v>
      </c>
      <c r="AA28" s="178">
        <f>+SUM(Table_Query_from_MS_Access_Database_1[[#All],[TAP Flex]])</f>
        <v>0</v>
      </c>
      <c r="AB28" s="178">
        <f>SUM(N28:AA28)</f>
        <v>26602606.16</v>
      </c>
      <c r="AC28" s="190"/>
      <c r="AD28" s="91"/>
    </row>
    <row r="29" spans="1:30" s="48" customFormat="1" ht="27.75" thickBot="1" x14ac:dyDescent="0.3">
      <c r="A29" s="93"/>
      <c r="B29" s="94"/>
      <c r="C29" s="94"/>
      <c r="D29" s="94"/>
      <c r="E29" s="95"/>
      <c r="F29" s="95"/>
      <c r="G29" s="95"/>
      <c r="H29" s="95"/>
      <c r="I29" s="95"/>
      <c r="J29" s="96"/>
      <c r="K29" s="96"/>
      <c r="L29" s="96"/>
      <c r="M29" s="176" t="s">
        <v>80</v>
      </c>
      <c r="N29" s="179">
        <f t="shared" ref="N29:AB29" si="2">+N13-N28</f>
        <v>0</v>
      </c>
      <c r="O29" s="179">
        <f t="shared" si="2"/>
        <v>48748934.810000002</v>
      </c>
      <c r="P29" s="179">
        <f t="shared" si="2"/>
        <v>724217</v>
      </c>
      <c r="Q29" s="179">
        <f t="shared" si="2"/>
        <v>1184764.43</v>
      </c>
      <c r="R29" s="179">
        <f t="shared" si="2"/>
        <v>21138</v>
      </c>
      <c r="S29" s="179">
        <f t="shared" si="2"/>
        <v>0</v>
      </c>
      <c r="T29" s="179">
        <f t="shared" si="2"/>
        <v>1220668</v>
      </c>
      <c r="U29" s="179">
        <f t="shared" si="2"/>
        <v>2603773</v>
      </c>
      <c r="V29" s="179">
        <f t="shared" si="2"/>
        <v>100273079.44</v>
      </c>
      <c r="W29" s="179">
        <f t="shared" si="2"/>
        <v>-241873</v>
      </c>
      <c r="X29" s="179">
        <f t="shared" si="2"/>
        <v>153739</v>
      </c>
      <c r="Y29" s="179">
        <f t="shared" si="2"/>
        <v>349168</v>
      </c>
      <c r="Z29" s="179">
        <f t="shared" si="2"/>
        <v>9435471.1900000013</v>
      </c>
      <c r="AA29" s="179">
        <f t="shared" si="2"/>
        <v>0</v>
      </c>
      <c r="AB29" s="179">
        <f t="shared" si="2"/>
        <v>164473079.87</v>
      </c>
      <c r="AC29" s="190"/>
      <c r="AD29" s="91"/>
    </row>
    <row r="30" spans="1:30" s="48" customFormat="1" ht="15" x14ac:dyDescent="0.25">
      <c r="A30" s="70"/>
      <c r="B30" s="71"/>
      <c r="C30" s="71"/>
      <c r="D30" s="71"/>
      <c r="E30" s="72"/>
      <c r="F30" s="72"/>
      <c r="G30" s="72"/>
      <c r="H30" s="72"/>
      <c r="I30" s="72"/>
      <c r="J30" s="73"/>
      <c r="K30" s="73"/>
      <c r="L30" s="73"/>
      <c r="M30" s="76"/>
      <c r="N30" s="77"/>
      <c r="O30" s="77"/>
      <c r="P30" s="77"/>
      <c r="Q30" s="77"/>
      <c r="R30" s="77"/>
      <c r="S30" s="39"/>
      <c r="T30" s="78"/>
      <c r="U30" s="60"/>
      <c r="V30" s="60"/>
      <c r="W30" s="60"/>
      <c r="X30" s="60"/>
      <c r="Y30" s="91"/>
      <c r="AC30" s="91"/>
      <c r="AD30" s="91"/>
    </row>
    <row r="31" spans="1:30" s="48" customFormat="1" ht="17.25" x14ac:dyDescent="0.25">
      <c r="A31" s="203" t="s">
        <v>36</v>
      </c>
      <c r="B31" s="203"/>
      <c r="C31" s="203"/>
      <c r="D31" s="203"/>
      <c r="E31" s="49"/>
      <c r="F31" s="49"/>
      <c r="G31" s="70"/>
      <c r="H31" s="70"/>
      <c r="I31" s="70"/>
      <c r="J31" s="80"/>
      <c r="K31" s="80"/>
      <c r="L31" s="80"/>
      <c r="M31" s="80"/>
      <c r="N31" s="43"/>
      <c r="O31" s="43"/>
      <c r="P31" s="43"/>
      <c r="Q31" s="197"/>
      <c r="R31" s="79"/>
      <c r="S31" s="43"/>
      <c r="T31" s="47"/>
      <c r="U31" s="47"/>
      <c r="V31" s="60"/>
      <c r="W31" s="47"/>
      <c r="X31" s="46"/>
      <c r="Y31" s="91"/>
      <c r="AC31" s="91"/>
      <c r="AD31" s="91"/>
    </row>
    <row r="32" spans="1:30" s="48" customFormat="1" ht="40.5" x14ac:dyDescent="0.25">
      <c r="A32" s="78" t="s">
        <v>1</v>
      </c>
      <c r="B32" s="78" t="s">
        <v>0</v>
      </c>
      <c r="C32" s="78" t="s">
        <v>3</v>
      </c>
      <c r="D32" s="78" t="s">
        <v>89</v>
      </c>
      <c r="E32" s="78" t="s">
        <v>2</v>
      </c>
      <c r="F32" s="78" t="s">
        <v>50</v>
      </c>
      <c r="G32" s="78" t="s">
        <v>51</v>
      </c>
      <c r="H32" s="78" t="s">
        <v>52</v>
      </c>
      <c r="I32" s="78" t="s">
        <v>225</v>
      </c>
      <c r="J32" s="78" t="s">
        <v>53</v>
      </c>
      <c r="K32" s="78" t="s">
        <v>54</v>
      </c>
      <c r="L32" s="78" t="s">
        <v>55</v>
      </c>
      <c r="M32" s="78" t="s">
        <v>56</v>
      </c>
      <c r="N32" s="78" t="s">
        <v>261</v>
      </c>
      <c r="O32" s="78" t="s">
        <v>43</v>
      </c>
      <c r="P32" s="81" t="s">
        <v>44</v>
      </c>
      <c r="Q32" s="82" t="s">
        <v>4</v>
      </c>
      <c r="R32" s="82" t="s">
        <v>45</v>
      </c>
      <c r="S32" s="82" t="s">
        <v>5</v>
      </c>
      <c r="T32" s="83" t="s">
        <v>221</v>
      </c>
      <c r="U32" s="83" t="s">
        <v>257</v>
      </c>
      <c r="V32" s="83" t="s">
        <v>99</v>
      </c>
      <c r="W32" s="83" t="s">
        <v>57</v>
      </c>
      <c r="X32" s="83" t="s">
        <v>223</v>
      </c>
      <c r="Y32" s="83" t="s">
        <v>258</v>
      </c>
      <c r="Z32" s="83" t="s">
        <v>100</v>
      </c>
      <c r="AA32" s="83" t="s">
        <v>236</v>
      </c>
      <c r="AB32" s="83" t="s">
        <v>92</v>
      </c>
      <c r="AC32" s="83" t="s">
        <v>58</v>
      </c>
      <c r="AD32" s="91"/>
    </row>
    <row r="33" spans="1:30" s="48" customFormat="1" ht="40.5" x14ac:dyDescent="0.25">
      <c r="A33" s="148" t="s">
        <v>278</v>
      </c>
      <c r="B33" s="123" t="s">
        <v>278</v>
      </c>
      <c r="C33" s="123" t="s">
        <v>196</v>
      </c>
      <c r="D33" s="123" t="s">
        <v>7</v>
      </c>
      <c r="E33" s="123" t="s">
        <v>279</v>
      </c>
      <c r="F33" s="123" t="s">
        <v>197</v>
      </c>
      <c r="G33" s="123" t="s">
        <v>101</v>
      </c>
      <c r="H33" s="123" t="s">
        <v>180</v>
      </c>
      <c r="I33" s="191" t="str">
        <f>CONCATENATE(Table_Query_from_MS_Access_Database_2[RTE],Table_Query_from_MS_Access_Database_2[SEC],Table_Query_from_MS_Access_Database_2[SEQ])</f>
        <v>AVN0TBD</v>
      </c>
      <c r="J33" s="180">
        <v>43466</v>
      </c>
      <c r="K33" s="180"/>
      <c r="L33" s="180"/>
      <c r="M33" s="180"/>
      <c r="N33" s="180"/>
      <c r="O33" s="174"/>
      <c r="P33" s="174"/>
      <c r="Q33" s="174"/>
      <c r="R33" s="174"/>
      <c r="S33" s="174"/>
      <c r="T33" s="174"/>
      <c r="U33" s="174"/>
      <c r="V33" s="174"/>
      <c r="W33" s="174"/>
      <c r="X33" s="174"/>
      <c r="Y33" s="174">
        <v>96186</v>
      </c>
      <c r="Z33" s="174"/>
      <c r="AA33" s="174"/>
      <c r="AB33" s="174">
        <f>SUM(Table_Query_from_MS_Access_Database_2[[#This Row],[HURF EX]:[TAP Flex]])</f>
        <v>96186</v>
      </c>
      <c r="AC33" s="173">
        <f>AC27-Table_Query_from_MS_Access_Database_2[TOTAL OF AMOUNT]</f>
        <v>91816769.620000005</v>
      </c>
      <c r="AD33" s="91"/>
    </row>
    <row r="34" spans="1:30" s="48" customFormat="1" ht="13.5" x14ac:dyDescent="0.25">
      <c r="A34" s="148" t="s">
        <v>311</v>
      </c>
      <c r="B34" s="123" t="s">
        <v>312</v>
      </c>
      <c r="C34" s="123" t="s">
        <v>196</v>
      </c>
      <c r="D34" s="123" t="s">
        <v>7</v>
      </c>
      <c r="E34" s="123" t="s">
        <v>313</v>
      </c>
      <c r="F34" s="123" t="s">
        <v>197</v>
      </c>
      <c r="G34" s="123" t="s">
        <v>101</v>
      </c>
      <c r="H34" s="123" t="s">
        <v>314</v>
      </c>
      <c r="I34" s="191" t="str">
        <f>CONCATENATE(Table_Query_from_MS_Access_Database_2[RTE],Table_Query_from_MS_Access_Database_2[SEC],Table_Query_from_MS_Access_Database_2[SEQ])</f>
        <v>AVN0221</v>
      </c>
      <c r="J34" s="180">
        <v>43466</v>
      </c>
      <c r="K34" s="180"/>
      <c r="L34" s="180"/>
      <c r="M34" s="180"/>
      <c r="N34" s="180"/>
      <c r="O34" s="174"/>
      <c r="P34" s="174"/>
      <c r="Q34" s="174"/>
      <c r="R34" s="174"/>
      <c r="S34" s="174"/>
      <c r="T34" s="174"/>
      <c r="U34" s="174"/>
      <c r="V34" s="174"/>
      <c r="W34" s="174"/>
      <c r="X34" s="174"/>
      <c r="Y34" s="174"/>
      <c r="Z34" s="174">
        <v>2011664</v>
      </c>
      <c r="AA34" s="174"/>
      <c r="AB34" s="174">
        <f>SUM(Table_Query_from_MS_Access_Database_2[[#This Row],[HURF EX]:[TAP Flex]])</f>
        <v>2011664</v>
      </c>
      <c r="AC34" s="173">
        <f>AC33-Table_Query_from_MS_Access_Database_2[TOTAL OF AMOUNT]</f>
        <v>89805105.620000005</v>
      </c>
      <c r="AD34" s="91"/>
    </row>
    <row r="35" spans="1:30" s="48" customFormat="1" ht="40.5" x14ac:dyDescent="0.25">
      <c r="A35" s="148" t="s">
        <v>323</v>
      </c>
      <c r="B35" s="139" t="s">
        <v>324</v>
      </c>
      <c r="C35" s="139" t="s">
        <v>196</v>
      </c>
      <c r="D35" s="139" t="s">
        <v>7</v>
      </c>
      <c r="E35" s="139" t="s">
        <v>325</v>
      </c>
      <c r="F35" s="139" t="s">
        <v>197</v>
      </c>
      <c r="G35" s="139" t="s">
        <v>101</v>
      </c>
      <c r="H35" s="139" t="s">
        <v>218</v>
      </c>
      <c r="I35" s="192" t="str">
        <f>CONCATENATE(Table_Query_from_MS_Access_Database_2[RTE],Table_Query_from_MS_Access_Database_2[SEC],Table_Query_from_MS_Access_Database_2[SEQ])</f>
        <v>AVN0215</v>
      </c>
      <c r="J35" s="181">
        <v>43374</v>
      </c>
      <c r="K35" s="181"/>
      <c r="L35" s="181"/>
      <c r="M35" s="181"/>
      <c r="N35" s="181"/>
      <c r="O35" s="174">
        <v>1264427</v>
      </c>
      <c r="P35" s="174"/>
      <c r="Q35" s="174"/>
      <c r="R35" s="174"/>
      <c r="S35" s="174"/>
      <c r="T35" s="174"/>
      <c r="U35" s="174"/>
      <c r="V35" s="174"/>
      <c r="W35" s="174"/>
      <c r="X35" s="174"/>
      <c r="Y35" s="174"/>
      <c r="Z35" s="174"/>
      <c r="AA35" s="174"/>
      <c r="AB35" s="174">
        <f>SUM(Table_Query_from_MS_Access_Database_2[[#This Row],[HURF EX]:[TAP Flex]])</f>
        <v>1264427</v>
      </c>
      <c r="AC35" s="173">
        <f>AC34-Table_Query_from_MS_Access_Database_2[TOTAL OF AMOUNT]</f>
        <v>88540678.620000005</v>
      </c>
      <c r="AD35" s="91"/>
    </row>
    <row r="36" spans="1:30" s="48" customFormat="1" ht="13.5" x14ac:dyDescent="0.25">
      <c r="A36" s="148" t="s">
        <v>398</v>
      </c>
      <c r="B36" s="147" t="s">
        <v>399</v>
      </c>
      <c r="C36" s="147" t="s">
        <v>400</v>
      </c>
      <c r="D36" s="147" t="s">
        <v>23</v>
      </c>
      <c r="E36" s="147" t="s">
        <v>401</v>
      </c>
      <c r="F36" s="147" t="s">
        <v>402</v>
      </c>
      <c r="G36" s="147" t="s">
        <v>101</v>
      </c>
      <c r="H36" s="147" t="s">
        <v>403</v>
      </c>
      <c r="I36" s="193" t="str">
        <f>CONCATENATE(Table_Query_from_MS_Access_Database_2[RTE],Table_Query_from_MS_Access_Database_2[SEC],Table_Query_from_MS_Access_Database_2[SEQ])</f>
        <v>BKY0213</v>
      </c>
      <c r="J36" s="177"/>
      <c r="K36" s="177">
        <v>43405</v>
      </c>
      <c r="L36" s="177"/>
      <c r="M36" s="177"/>
      <c r="N36" s="177"/>
      <c r="O36" s="174">
        <v>18860</v>
      </c>
      <c r="P36" s="174"/>
      <c r="Q36" s="174"/>
      <c r="R36" s="174"/>
      <c r="S36" s="174"/>
      <c r="T36" s="174"/>
      <c r="U36" s="174"/>
      <c r="V36" s="174"/>
      <c r="W36" s="174"/>
      <c r="X36" s="174"/>
      <c r="Y36" s="174"/>
      <c r="Z36" s="174"/>
      <c r="AA36" s="174"/>
      <c r="AB36" s="174">
        <f>SUM(Table_Query_from_MS_Access_Database_2[[#This Row],[HURF EX]:[TAP Flex]])</f>
        <v>18860</v>
      </c>
      <c r="AC36" s="173">
        <f>AC35-Table_Query_from_MS_Access_Database_2[TOTAL OF AMOUNT]</f>
        <v>88521818.620000005</v>
      </c>
      <c r="AD36" s="91"/>
    </row>
    <row r="37" spans="1:30" s="48" customFormat="1" ht="27" x14ac:dyDescent="0.25">
      <c r="A37" s="148" t="s">
        <v>404</v>
      </c>
      <c r="B37" s="147" t="s">
        <v>405</v>
      </c>
      <c r="C37" s="147" t="s">
        <v>400</v>
      </c>
      <c r="D37" s="147" t="s">
        <v>23</v>
      </c>
      <c r="E37" s="147" t="s">
        <v>406</v>
      </c>
      <c r="F37" s="147" t="s">
        <v>402</v>
      </c>
      <c r="G37" s="147" t="s">
        <v>101</v>
      </c>
      <c r="H37" s="147" t="s">
        <v>403</v>
      </c>
      <c r="I37" s="193" t="str">
        <f>CONCATENATE(Table_Query_from_MS_Access_Database_2[RTE],Table_Query_from_MS_Access_Database_2[SEC],Table_Query_from_MS_Access_Database_2[SEQ])</f>
        <v>BKY0213</v>
      </c>
      <c r="J37" s="177"/>
      <c r="K37" s="177">
        <v>43405</v>
      </c>
      <c r="L37" s="177"/>
      <c r="M37" s="177"/>
      <c r="N37" s="177"/>
      <c r="O37" s="174">
        <v>-18860</v>
      </c>
      <c r="P37" s="174"/>
      <c r="Q37" s="174"/>
      <c r="R37" s="174"/>
      <c r="S37" s="174"/>
      <c r="T37" s="174"/>
      <c r="U37" s="174"/>
      <c r="V37" s="174"/>
      <c r="W37" s="198"/>
      <c r="X37" s="174"/>
      <c r="Y37" s="174"/>
      <c r="Z37" s="174"/>
      <c r="AA37" s="174"/>
      <c r="AB37" s="174">
        <f>SUM(Table_Query_from_MS_Access_Database_2[[#This Row],[HURF EX]:[TAP Flex]])</f>
        <v>-18860</v>
      </c>
      <c r="AC37" s="173">
        <f>AC36-Table_Query_from_MS_Access_Database_2[TOTAL OF AMOUNT]</f>
        <v>88540678.620000005</v>
      </c>
      <c r="AD37" s="91"/>
    </row>
    <row r="38" spans="1:30" s="48" customFormat="1" ht="27" x14ac:dyDescent="0.25">
      <c r="A38" s="148" t="s">
        <v>326</v>
      </c>
      <c r="B38" s="147" t="s">
        <v>327</v>
      </c>
      <c r="C38" s="147" t="s">
        <v>178</v>
      </c>
      <c r="D38" s="147" t="s">
        <v>7</v>
      </c>
      <c r="E38" s="147" t="s">
        <v>328</v>
      </c>
      <c r="F38" s="147" t="s">
        <v>179</v>
      </c>
      <c r="G38" s="147" t="s">
        <v>101</v>
      </c>
      <c r="H38" s="147" t="s">
        <v>180</v>
      </c>
      <c r="I38" s="193" t="str">
        <f>CONCATENATE(Table_Query_from_MS_Access_Database_2[RTE],Table_Query_from_MS_Access_Database_2[SEC],Table_Query_from_MS_Access_Database_2[SEQ])</f>
        <v>CHN0TBD</v>
      </c>
      <c r="J38" s="177">
        <v>43466</v>
      </c>
      <c r="K38" s="177"/>
      <c r="L38" s="177"/>
      <c r="M38" s="177"/>
      <c r="N38" s="177"/>
      <c r="O38" s="174"/>
      <c r="P38" s="174"/>
      <c r="Q38" s="174"/>
      <c r="R38" s="174"/>
      <c r="S38" s="174"/>
      <c r="T38" s="174"/>
      <c r="U38" s="174"/>
      <c r="V38" s="174">
        <v>7314135</v>
      </c>
      <c r="W38" s="174"/>
      <c r="X38" s="174"/>
      <c r="Y38" s="174"/>
      <c r="Z38" s="174"/>
      <c r="AA38" s="174"/>
      <c r="AB38" s="174">
        <f>SUM(Table_Query_from_MS_Access_Database_2[[#This Row],[HURF EX]:[TAP Flex]])</f>
        <v>7314135</v>
      </c>
      <c r="AC38" s="173">
        <f>AC37-Table_Query_from_MS_Access_Database_2[TOTAL OF AMOUNT]</f>
        <v>81226543.620000005</v>
      </c>
      <c r="AD38" s="91"/>
    </row>
    <row r="39" spans="1:30" s="48" customFormat="1" ht="27" x14ac:dyDescent="0.25">
      <c r="A39" s="148" t="s">
        <v>354</v>
      </c>
      <c r="B39" s="149" t="s">
        <v>355</v>
      </c>
      <c r="C39" s="149" t="s">
        <v>178</v>
      </c>
      <c r="D39" s="149" t="s">
        <v>7</v>
      </c>
      <c r="E39" s="149" t="s">
        <v>356</v>
      </c>
      <c r="F39" s="149" t="s">
        <v>179</v>
      </c>
      <c r="G39" s="149" t="s">
        <v>101</v>
      </c>
      <c r="H39" s="149" t="s">
        <v>357</v>
      </c>
      <c r="I39" s="194" t="str">
        <f>CONCATENATE(Table_Query_from_MS_Access_Database_2[RTE],Table_Query_from_MS_Access_Database_2[SEC],Table_Query_from_MS_Access_Database_2[SEQ])</f>
        <v>CHN0240</v>
      </c>
      <c r="J39" s="182">
        <v>43466</v>
      </c>
      <c r="K39" s="182"/>
      <c r="L39" s="182"/>
      <c r="M39" s="182"/>
      <c r="N39" s="182"/>
      <c r="O39" s="174"/>
      <c r="P39" s="174"/>
      <c r="Q39" s="174"/>
      <c r="R39" s="174"/>
      <c r="S39" s="174"/>
      <c r="T39" s="174"/>
      <c r="U39" s="174"/>
      <c r="V39" s="174">
        <v>1279250</v>
      </c>
      <c r="W39" s="174"/>
      <c r="X39" s="174"/>
      <c r="Y39" s="174"/>
      <c r="Z39" s="174"/>
      <c r="AA39" s="174"/>
      <c r="AB39" s="174">
        <f>SUM(Table_Query_from_MS_Access_Database_2[[#This Row],[HURF EX]:[TAP Flex]])</f>
        <v>1279250</v>
      </c>
      <c r="AC39" s="173">
        <f>AC38-Table_Query_from_MS_Access_Database_2[TOTAL OF AMOUNT]</f>
        <v>79947293.620000005</v>
      </c>
      <c r="AD39" s="91"/>
    </row>
    <row r="40" spans="1:30" s="48" customFormat="1" ht="40.5" x14ac:dyDescent="0.25">
      <c r="A40" s="148" t="s">
        <v>391</v>
      </c>
      <c r="B40" s="149" t="s">
        <v>392</v>
      </c>
      <c r="C40" s="149" t="s">
        <v>178</v>
      </c>
      <c r="D40" s="149" t="s">
        <v>7</v>
      </c>
      <c r="E40" s="149" t="s">
        <v>393</v>
      </c>
      <c r="F40" s="149" t="s">
        <v>179</v>
      </c>
      <c r="G40" s="149" t="s">
        <v>101</v>
      </c>
      <c r="H40" s="149" t="s">
        <v>234</v>
      </c>
      <c r="I40" s="194" t="str">
        <f>CONCATENATE(Table_Query_from_MS_Access_Database_2[RTE],Table_Query_from_MS_Access_Database_2[SEC],Table_Query_from_MS_Access_Database_2[SEQ])</f>
        <v>CHN0242</v>
      </c>
      <c r="J40" s="182">
        <v>43466</v>
      </c>
      <c r="K40" s="182"/>
      <c r="L40" s="182"/>
      <c r="M40" s="182"/>
      <c r="N40" s="182"/>
      <c r="O40" s="174">
        <v>792120</v>
      </c>
      <c r="P40" s="174"/>
      <c r="Q40" s="174"/>
      <c r="R40" s="174"/>
      <c r="S40" s="174"/>
      <c r="T40" s="174"/>
      <c r="U40" s="174"/>
      <c r="V40" s="174"/>
      <c r="W40" s="174"/>
      <c r="X40" s="174"/>
      <c r="Y40" s="174"/>
      <c r="Z40" s="174"/>
      <c r="AA40" s="174"/>
      <c r="AB40" s="174">
        <f>SUM(Table_Query_from_MS_Access_Database_2[[#This Row],[HURF EX]:[TAP Flex]])</f>
        <v>792120</v>
      </c>
      <c r="AC40" s="173">
        <f>AC39-Table_Query_from_MS_Access_Database_2[TOTAL OF AMOUNT]</f>
        <v>79155173.620000005</v>
      </c>
      <c r="AD40" s="91"/>
    </row>
    <row r="41" spans="1:30" s="48" customFormat="1" ht="27" x14ac:dyDescent="0.25">
      <c r="A41" s="148" t="s">
        <v>366</v>
      </c>
      <c r="B41" s="149" t="s">
        <v>367</v>
      </c>
      <c r="C41" s="149" t="s">
        <v>263</v>
      </c>
      <c r="D41" s="149" t="s">
        <v>7</v>
      </c>
      <c r="E41" s="149" t="s">
        <v>368</v>
      </c>
      <c r="F41" s="149" t="s">
        <v>264</v>
      </c>
      <c r="G41" s="149" t="s">
        <v>101</v>
      </c>
      <c r="H41" s="149" t="s">
        <v>268</v>
      </c>
      <c r="I41" s="194" t="str">
        <f>CONCATENATE(Table_Query_from_MS_Access_Database_2[RTE],Table_Query_from_MS_Access_Database_2[SEC],Table_Query_from_MS_Access_Database_2[SEQ])</f>
        <v>GIL0216</v>
      </c>
      <c r="J41" s="182">
        <v>43388</v>
      </c>
      <c r="K41" s="182"/>
      <c r="L41" s="182"/>
      <c r="M41" s="182"/>
      <c r="N41" s="182"/>
      <c r="O41" s="174">
        <v>2829943</v>
      </c>
      <c r="P41" s="174"/>
      <c r="Q41" s="174"/>
      <c r="R41" s="174"/>
      <c r="S41" s="174"/>
      <c r="T41" s="174"/>
      <c r="U41" s="174"/>
      <c r="V41" s="174"/>
      <c r="W41" s="174"/>
      <c r="X41" s="174"/>
      <c r="Y41" s="174"/>
      <c r="Z41" s="174"/>
      <c r="AA41" s="174"/>
      <c r="AB41" s="174">
        <f>SUM(Table_Query_from_MS_Access_Database_2[[#This Row],[HURF EX]:[TAP Flex]])</f>
        <v>2829943</v>
      </c>
      <c r="AC41" s="173">
        <f>AC40-Table_Query_from_MS_Access_Database_2[TOTAL OF AMOUNT]</f>
        <v>76325230.620000005</v>
      </c>
      <c r="AD41" s="91"/>
    </row>
    <row r="42" spans="1:30" s="48" customFormat="1" ht="13.5" x14ac:dyDescent="0.25">
      <c r="A42" s="148" t="s">
        <v>345</v>
      </c>
      <c r="B42" s="149" t="s">
        <v>346</v>
      </c>
      <c r="C42" s="149" t="s">
        <v>163</v>
      </c>
      <c r="D42" s="149" t="s">
        <v>7</v>
      </c>
      <c r="E42" s="149" t="s">
        <v>347</v>
      </c>
      <c r="F42" s="149" t="s">
        <v>164</v>
      </c>
      <c r="G42" s="149" t="s">
        <v>101</v>
      </c>
      <c r="H42" s="149" t="s">
        <v>348</v>
      </c>
      <c r="I42" s="194" t="str">
        <f>CONCATENATE(Table_Query_from_MS_Access_Database_2[RTE],Table_Query_from_MS_Access_Database_2[SEC],Table_Query_from_MS_Access_Database_2[SEQ])</f>
        <v>GLN0253</v>
      </c>
      <c r="J42" s="182">
        <v>43466</v>
      </c>
      <c r="K42" s="182"/>
      <c r="L42" s="182"/>
      <c r="M42" s="182"/>
      <c r="N42" s="182"/>
      <c r="O42" s="174">
        <v>800000</v>
      </c>
      <c r="P42" s="174"/>
      <c r="Q42" s="174"/>
      <c r="R42" s="174"/>
      <c r="S42" s="174"/>
      <c r="T42" s="174"/>
      <c r="U42" s="174"/>
      <c r="V42" s="174"/>
      <c r="W42" s="174"/>
      <c r="X42" s="174"/>
      <c r="Y42" s="174"/>
      <c r="Z42" s="174"/>
      <c r="AA42" s="174"/>
      <c r="AB42" s="174">
        <f>SUM(Table_Query_from_MS_Access_Database_2[[#This Row],[HURF EX]:[TAP Flex]])</f>
        <v>800000</v>
      </c>
      <c r="AC42" s="173">
        <f>AC41-Table_Query_from_MS_Access_Database_2[TOTAL OF AMOUNT]</f>
        <v>75525230.620000005</v>
      </c>
      <c r="AD42" s="91"/>
    </row>
    <row r="43" spans="1:30" s="48" customFormat="1" ht="27" x14ac:dyDescent="0.25">
      <c r="A43" s="199" t="s">
        <v>287</v>
      </c>
      <c r="B43" s="200" t="s">
        <v>287</v>
      </c>
      <c r="C43" s="200" t="s">
        <v>49</v>
      </c>
      <c r="D43" s="200" t="s">
        <v>7</v>
      </c>
      <c r="E43" s="200" t="s">
        <v>288</v>
      </c>
      <c r="F43" s="200" t="s">
        <v>49</v>
      </c>
      <c r="G43" s="200" t="s">
        <v>101</v>
      </c>
      <c r="H43" s="200" t="s">
        <v>180</v>
      </c>
      <c r="I43" s="201" t="str">
        <f>CONCATENATE(Table_Query_from_MS_Access_Database_2[RTE],Table_Query_from_MS_Access_Database_2[SEC],Table_Query_from_MS_Access_Database_2[SEQ])</f>
        <v>MAG0TBD</v>
      </c>
      <c r="J43" s="202">
        <v>43466</v>
      </c>
      <c r="K43" s="202"/>
      <c r="L43" s="202"/>
      <c r="M43" s="202"/>
      <c r="N43" s="202"/>
      <c r="O43" s="174">
        <v>1459729</v>
      </c>
      <c r="P43" s="174"/>
      <c r="Q43" s="174"/>
      <c r="R43" s="174"/>
      <c r="S43" s="174"/>
      <c r="T43" s="174"/>
      <c r="U43" s="174"/>
      <c r="V43" s="174"/>
      <c r="W43" s="174"/>
      <c r="X43" s="174"/>
      <c r="Y43" s="174"/>
      <c r="Z43" s="174"/>
      <c r="AA43" s="174"/>
      <c r="AB43" s="174">
        <f>SUM(Table_Query_from_MS_Access_Database_2[[#This Row],[HURF EX]:[TAP Flex]])</f>
        <v>1459729</v>
      </c>
      <c r="AC43" s="173">
        <f>AC42-Table_Query_from_MS_Access_Database_2[TOTAL OF AMOUNT]</f>
        <v>74065501.620000005</v>
      </c>
      <c r="AD43" s="91"/>
    </row>
    <row r="44" spans="1:30" s="48" customFormat="1" ht="27" x14ac:dyDescent="0.25">
      <c r="A44" s="199" t="s">
        <v>289</v>
      </c>
      <c r="B44" s="200" t="s">
        <v>289</v>
      </c>
      <c r="C44" s="200" t="s">
        <v>49</v>
      </c>
      <c r="D44" s="200" t="s">
        <v>7</v>
      </c>
      <c r="E44" s="200" t="s">
        <v>198</v>
      </c>
      <c r="F44" s="200" t="s">
        <v>49</v>
      </c>
      <c r="G44" s="200" t="s">
        <v>101</v>
      </c>
      <c r="H44" s="200" t="s">
        <v>180</v>
      </c>
      <c r="I44" s="201" t="str">
        <f>CONCATENATE(Table_Query_from_MS_Access_Database_2[RTE],Table_Query_from_MS_Access_Database_2[SEC],Table_Query_from_MS_Access_Database_2[SEQ])</f>
        <v>MAG0TBD</v>
      </c>
      <c r="J44" s="202">
        <v>43466</v>
      </c>
      <c r="K44" s="202"/>
      <c r="L44" s="202"/>
      <c r="M44" s="202"/>
      <c r="N44" s="202"/>
      <c r="O44" s="174">
        <v>650000</v>
      </c>
      <c r="P44" s="174"/>
      <c r="Q44" s="174"/>
      <c r="R44" s="174"/>
      <c r="S44" s="174"/>
      <c r="T44" s="174"/>
      <c r="U44" s="174"/>
      <c r="V44" s="174"/>
      <c r="W44" s="174"/>
      <c r="X44" s="174"/>
      <c r="Y44" s="174"/>
      <c r="Z44" s="174"/>
      <c r="AA44" s="174"/>
      <c r="AB44" s="174">
        <f>SUM(Table_Query_from_MS_Access_Database_2[[#This Row],[HURF EX]:[TAP Flex]])</f>
        <v>650000</v>
      </c>
      <c r="AC44" s="173">
        <f>AC43-Table_Query_from_MS_Access_Database_2[TOTAL OF AMOUNT]</f>
        <v>73415501.620000005</v>
      </c>
      <c r="AD44" s="91"/>
    </row>
    <row r="45" spans="1:30" s="48" customFormat="1" ht="13.5" x14ac:dyDescent="0.25">
      <c r="A45" s="199" t="s">
        <v>290</v>
      </c>
      <c r="B45" s="200" t="s">
        <v>290</v>
      </c>
      <c r="C45" s="200" t="s">
        <v>49</v>
      </c>
      <c r="D45" s="200" t="s">
        <v>7</v>
      </c>
      <c r="E45" s="200" t="s">
        <v>291</v>
      </c>
      <c r="F45" s="200" t="s">
        <v>49</v>
      </c>
      <c r="G45" s="200" t="s">
        <v>101</v>
      </c>
      <c r="H45" s="200" t="s">
        <v>180</v>
      </c>
      <c r="I45" s="201" t="str">
        <f>CONCATENATE(Table_Query_from_MS_Access_Database_2[RTE],Table_Query_from_MS_Access_Database_2[SEC],Table_Query_from_MS_Access_Database_2[SEQ])</f>
        <v>MAG0TBD</v>
      </c>
      <c r="J45" s="202">
        <v>43466</v>
      </c>
      <c r="K45" s="202"/>
      <c r="L45" s="202"/>
      <c r="M45" s="202"/>
      <c r="N45" s="202"/>
      <c r="O45" s="174">
        <v>135000</v>
      </c>
      <c r="P45" s="174"/>
      <c r="Q45" s="174"/>
      <c r="R45" s="174"/>
      <c r="S45" s="174"/>
      <c r="T45" s="174"/>
      <c r="U45" s="174"/>
      <c r="V45" s="174"/>
      <c r="W45" s="174"/>
      <c r="X45" s="174"/>
      <c r="Y45" s="174"/>
      <c r="Z45" s="174"/>
      <c r="AA45" s="174"/>
      <c r="AB45" s="174">
        <f>SUM(Table_Query_from_MS_Access_Database_2[[#This Row],[HURF EX]:[TAP Flex]])</f>
        <v>135000</v>
      </c>
      <c r="AC45" s="173">
        <f>AC44-Table_Query_from_MS_Access_Database_2[TOTAL OF AMOUNT]</f>
        <v>73280501.620000005</v>
      </c>
      <c r="AD45" s="91"/>
    </row>
    <row r="46" spans="1:30" s="48" customFormat="1" ht="13.5" x14ac:dyDescent="0.25">
      <c r="A46" s="199" t="s">
        <v>292</v>
      </c>
      <c r="B46" s="200" t="s">
        <v>292</v>
      </c>
      <c r="C46" s="200" t="s">
        <v>49</v>
      </c>
      <c r="D46" s="200" t="s">
        <v>7</v>
      </c>
      <c r="E46" s="200" t="s">
        <v>293</v>
      </c>
      <c r="F46" s="200" t="s">
        <v>49</v>
      </c>
      <c r="G46" s="200" t="s">
        <v>101</v>
      </c>
      <c r="H46" s="200" t="s">
        <v>180</v>
      </c>
      <c r="I46" s="201" t="str">
        <f>CONCATENATE(Table_Query_from_MS_Access_Database_2[RTE],Table_Query_from_MS_Access_Database_2[SEC],Table_Query_from_MS_Access_Database_2[SEQ])</f>
        <v>MAG0TBD</v>
      </c>
      <c r="J46" s="202">
        <v>43466</v>
      </c>
      <c r="K46" s="202"/>
      <c r="L46" s="202"/>
      <c r="M46" s="202"/>
      <c r="N46" s="202"/>
      <c r="O46" s="174">
        <v>962347</v>
      </c>
      <c r="P46" s="174"/>
      <c r="Q46" s="174"/>
      <c r="R46" s="174"/>
      <c r="S46" s="174"/>
      <c r="T46" s="174"/>
      <c r="U46" s="174"/>
      <c r="V46" s="174"/>
      <c r="W46" s="174"/>
      <c r="X46" s="174"/>
      <c r="Y46" s="174"/>
      <c r="Z46" s="174"/>
      <c r="AA46" s="174"/>
      <c r="AB46" s="174">
        <f>SUM(Table_Query_from_MS_Access_Database_2[[#This Row],[HURF EX]:[TAP Flex]])</f>
        <v>962347</v>
      </c>
      <c r="AC46" s="173">
        <f>AC45-Table_Query_from_MS_Access_Database_2[TOTAL OF AMOUNT]</f>
        <v>72318154.620000005</v>
      </c>
      <c r="AD46" s="91"/>
    </row>
    <row r="47" spans="1:30" s="48" customFormat="1" ht="27" x14ac:dyDescent="0.25">
      <c r="A47" s="199" t="s">
        <v>294</v>
      </c>
      <c r="B47" s="200" t="s">
        <v>294</v>
      </c>
      <c r="C47" s="200" t="s">
        <v>49</v>
      </c>
      <c r="D47" s="200" t="s">
        <v>7</v>
      </c>
      <c r="E47" s="200" t="s">
        <v>295</v>
      </c>
      <c r="F47" s="200" t="s">
        <v>49</v>
      </c>
      <c r="G47" s="200" t="s">
        <v>101</v>
      </c>
      <c r="H47" s="200" t="s">
        <v>180</v>
      </c>
      <c r="I47" s="201" t="str">
        <f>CONCATENATE(Table_Query_from_MS_Access_Database_2[RTE],Table_Query_from_MS_Access_Database_2[SEC],Table_Query_from_MS_Access_Database_2[SEQ])</f>
        <v>MAG0TBD</v>
      </c>
      <c r="J47" s="202">
        <v>43466</v>
      </c>
      <c r="K47" s="202"/>
      <c r="L47" s="202"/>
      <c r="M47" s="202"/>
      <c r="N47" s="202"/>
      <c r="O47" s="174"/>
      <c r="P47" s="174"/>
      <c r="Q47" s="174"/>
      <c r="R47" s="174"/>
      <c r="S47" s="174"/>
      <c r="T47" s="174"/>
      <c r="U47" s="174"/>
      <c r="V47" s="174">
        <v>6385239</v>
      </c>
      <c r="W47" s="174"/>
      <c r="X47" s="174"/>
      <c r="Y47" s="174"/>
      <c r="Z47" s="174"/>
      <c r="AA47" s="174"/>
      <c r="AB47" s="174">
        <f>SUM(Table_Query_from_MS_Access_Database_2[[#This Row],[HURF EX]:[TAP Flex]])</f>
        <v>6385239</v>
      </c>
      <c r="AC47" s="173">
        <f>AC46-Table_Query_from_MS_Access_Database_2[TOTAL OF AMOUNT]</f>
        <v>65932915.620000005</v>
      </c>
      <c r="AD47" s="91"/>
    </row>
    <row r="48" spans="1:30" s="48" customFormat="1" ht="40.5" x14ac:dyDescent="0.25">
      <c r="A48" s="199" t="s">
        <v>296</v>
      </c>
      <c r="B48" s="200" t="s">
        <v>296</v>
      </c>
      <c r="C48" s="200" t="s">
        <v>49</v>
      </c>
      <c r="D48" s="200" t="s">
        <v>7</v>
      </c>
      <c r="E48" s="200" t="s">
        <v>217</v>
      </c>
      <c r="F48" s="200" t="s">
        <v>49</v>
      </c>
      <c r="G48" s="200" t="s">
        <v>101</v>
      </c>
      <c r="H48" s="200" t="s">
        <v>180</v>
      </c>
      <c r="I48" s="201" t="str">
        <f>CONCATENATE(Table_Query_from_MS_Access_Database_2[RTE],Table_Query_from_MS_Access_Database_2[SEC],Table_Query_from_MS_Access_Database_2[SEQ])</f>
        <v>MAG0TBD</v>
      </c>
      <c r="J48" s="202">
        <v>43466</v>
      </c>
      <c r="K48" s="202"/>
      <c r="L48" s="202"/>
      <c r="M48" s="202"/>
      <c r="N48" s="202"/>
      <c r="O48" s="174"/>
      <c r="P48" s="174"/>
      <c r="Q48" s="174"/>
      <c r="R48" s="174"/>
      <c r="S48" s="174"/>
      <c r="T48" s="174"/>
      <c r="U48" s="174"/>
      <c r="V48" s="174"/>
      <c r="W48" s="174"/>
      <c r="X48" s="174"/>
      <c r="Y48" s="174"/>
      <c r="Z48" s="174">
        <v>480000</v>
      </c>
      <c r="AA48" s="174"/>
      <c r="AB48" s="174">
        <f>SUM(Table_Query_from_MS_Access_Database_2[[#This Row],[HURF EX]:[TAP Flex]])</f>
        <v>480000</v>
      </c>
      <c r="AC48" s="173">
        <f>AC47-Table_Query_from_MS_Access_Database_2[TOTAL OF AMOUNT]</f>
        <v>65452915.620000005</v>
      </c>
      <c r="AD48" s="91"/>
    </row>
    <row r="49" spans="1:30" s="48" customFormat="1" ht="13.5" x14ac:dyDescent="0.25">
      <c r="A49" s="199" t="s">
        <v>297</v>
      </c>
      <c r="B49" s="200" t="s">
        <v>298</v>
      </c>
      <c r="C49" s="200" t="s">
        <v>49</v>
      </c>
      <c r="D49" s="200" t="s">
        <v>7</v>
      </c>
      <c r="E49" s="200" t="s">
        <v>255</v>
      </c>
      <c r="F49" s="200" t="s">
        <v>199</v>
      </c>
      <c r="G49" s="200" t="s">
        <v>200</v>
      </c>
      <c r="H49" s="200" t="s">
        <v>141</v>
      </c>
      <c r="I49" s="201" t="str">
        <f>CONCATENATE(Table_Query_from_MS_Access_Database_2[RTE],Table_Query_from_MS_Access_Database_2[SEC],Table_Query_from_MS_Access_Database_2[SEQ])</f>
        <v>999AN/A</v>
      </c>
      <c r="J49" s="202">
        <v>43466</v>
      </c>
      <c r="K49" s="202"/>
      <c r="L49" s="202"/>
      <c r="M49" s="202"/>
      <c r="N49" s="202"/>
      <c r="O49" s="174">
        <v>18091828</v>
      </c>
      <c r="P49" s="174"/>
      <c r="Q49" s="174"/>
      <c r="R49" s="174"/>
      <c r="S49" s="174"/>
      <c r="T49" s="174"/>
      <c r="U49" s="174"/>
      <c r="V49" s="174"/>
      <c r="W49" s="174"/>
      <c r="X49" s="174"/>
      <c r="Y49" s="174"/>
      <c r="Z49" s="174"/>
      <c r="AA49" s="174"/>
      <c r="AB49" s="174">
        <f>SUM(Table_Query_from_MS_Access_Database_2[[#This Row],[HURF EX]:[TAP Flex]])</f>
        <v>18091828</v>
      </c>
      <c r="AC49" s="173">
        <f>AC48-Table_Query_from_MS_Access_Database_2[TOTAL OF AMOUNT]</f>
        <v>47361087.620000005</v>
      </c>
      <c r="AD49" s="91"/>
    </row>
    <row r="50" spans="1:30" s="48" customFormat="1" ht="27" x14ac:dyDescent="0.25">
      <c r="A50" s="199" t="s">
        <v>376</v>
      </c>
      <c r="B50" s="200" t="s">
        <v>377</v>
      </c>
      <c r="C50" s="200" t="s">
        <v>181</v>
      </c>
      <c r="D50" s="200" t="s">
        <v>7</v>
      </c>
      <c r="E50" s="200" t="s">
        <v>378</v>
      </c>
      <c r="F50" s="200" t="s">
        <v>182</v>
      </c>
      <c r="G50" s="200" t="s">
        <v>101</v>
      </c>
      <c r="H50" s="200" t="s">
        <v>233</v>
      </c>
      <c r="I50" s="201" t="str">
        <f>CONCATENATE(Table_Query_from_MS_Access_Database_2[RTE],Table_Query_from_MS_Access_Database_2[SEC],Table_Query_from_MS_Access_Database_2[SEQ])</f>
        <v>MAR0208</v>
      </c>
      <c r="J50" s="202">
        <v>43466</v>
      </c>
      <c r="K50" s="202"/>
      <c r="L50" s="202"/>
      <c r="M50" s="202"/>
      <c r="N50" s="202"/>
      <c r="O50" s="174"/>
      <c r="P50" s="174">
        <v>2066658</v>
      </c>
      <c r="Q50" s="174"/>
      <c r="R50" s="174"/>
      <c r="S50" s="174"/>
      <c r="T50" s="174"/>
      <c r="U50" s="174"/>
      <c r="V50" s="174"/>
      <c r="W50" s="174"/>
      <c r="X50" s="174"/>
      <c r="Y50" s="174"/>
      <c r="Z50" s="174"/>
      <c r="AA50" s="174"/>
      <c r="AB50" s="174">
        <f>SUM(Table_Query_from_MS_Access_Database_2[[#This Row],[HURF EX]:[TAP Flex]])</f>
        <v>2066658</v>
      </c>
      <c r="AC50" s="173">
        <f>AC49-Table_Query_from_MS_Access_Database_2[TOTAL OF AMOUNT]</f>
        <v>45294429.620000005</v>
      </c>
    </row>
    <row r="51" spans="1:30" s="48" customFormat="1" ht="27" x14ac:dyDescent="0.25">
      <c r="A51" s="199" t="s">
        <v>407</v>
      </c>
      <c r="B51" s="200" t="s">
        <v>299</v>
      </c>
      <c r="C51" s="200" t="s">
        <v>181</v>
      </c>
      <c r="D51" s="200" t="s">
        <v>7</v>
      </c>
      <c r="E51" s="200" t="s">
        <v>408</v>
      </c>
      <c r="F51" s="200" t="s">
        <v>182</v>
      </c>
      <c r="G51" s="200" t="s">
        <v>101</v>
      </c>
      <c r="H51" s="200" t="s">
        <v>180</v>
      </c>
      <c r="I51" s="201" t="str">
        <f>CONCATENATE(Table_Query_from_MS_Access_Database_2[RTE],Table_Query_from_MS_Access_Database_2[SEC],Table_Query_from_MS_Access_Database_2[SEQ])</f>
        <v>MAR0TBD</v>
      </c>
      <c r="J51" s="202">
        <v>43646</v>
      </c>
      <c r="K51" s="202"/>
      <c r="L51" s="202"/>
      <c r="M51" s="202"/>
      <c r="N51" s="202"/>
      <c r="O51" s="174">
        <v>400000</v>
      </c>
      <c r="P51" s="174"/>
      <c r="Q51" s="174"/>
      <c r="R51" s="174"/>
      <c r="S51" s="174"/>
      <c r="T51" s="174"/>
      <c r="U51" s="174"/>
      <c r="V51" s="174"/>
      <c r="W51" s="174"/>
      <c r="X51" s="174"/>
      <c r="Y51" s="174"/>
      <c r="Z51" s="174"/>
      <c r="AA51" s="174"/>
      <c r="AB51" s="174">
        <f>SUM(Table_Query_from_MS_Access_Database_2[[#This Row],[HURF EX]:[TAP Flex]])</f>
        <v>400000</v>
      </c>
      <c r="AC51" s="173">
        <f>AC50-Table_Query_from_MS_Access_Database_2[TOTAL OF AMOUNT]</f>
        <v>44894429.620000005</v>
      </c>
    </row>
    <row r="52" spans="1:30" s="48" customFormat="1" ht="54" x14ac:dyDescent="0.25">
      <c r="A52" s="199" t="s">
        <v>300</v>
      </c>
      <c r="B52" s="200" t="s">
        <v>301</v>
      </c>
      <c r="C52" s="200" t="s">
        <v>185</v>
      </c>
      <c r="D52" s="200" t="s">
        <v>7</v>
      </c>
      <c r="E52" s="200" t="s">
        <v>302</v>
      </c>
      <c r="F52" s="200" t="s">
        <v>186</v>
      </c>
      <c r="G52" s="200" t="s">
        <v>101</v>
      </c>
      <c r="H52" s="200" t="s">
        <v>180</v>
      </c>
      <c r="I52" s="201" t="str">
        <f>CONCATENATE(Table_Query_from_MS_Access_Database_2[RTE],Table_Query_from_MS_Access_Database_2[SEC],Table_Query_from_MS_Access_Database_2[SEQ])</f>
        <v>MMA0TBD</v>
      </c>
      <c r="J52" s="202">
        <v>43466</v>
      </c>
      <c r="K52" s="202"/>
      <c r="L52" s="202"/>
      <c r="M52" s="202"/>
      <c r="N52" s="202"/>
      <c r="O52" s="174"/>
      <c r="P52" s="174"/>
      <c r="Q52" s="174"/>
      <c r="R52" s="174"/>
      <c r="S52" s="174"/>
      <c r="T52" s="174"/>
      <c r="U52" s="174"/>
      <c r="V52" s="174">
        <v>500000</v>
      </c>
      <c r="W52" s="174"/>
      <c r="X52" s="174"/>
      <c r="Y52" s="174"/>
      <c r="Z52" s="174"/>
      <c r="AA52" s="174"/>
      <c r="AB52" s="174">
        <f>SUM(Table_Query_from_MS_Access_Database_2[[#This Row],[HURF EX]:[TAP Flex]])</f>
        <v>500000</v>
      </c>
      <c r="AC52" s="173">
        <f>AC51-Table_Query_from_MS_Access_Database_2[TOTAL OF AMOUNT]</f>
        <v>44394429.620000005</v>
      </c>
      <c r="AD52" s="91"/>
    </row>
    <row r="53" spans="1:30" s="48" customFormat="1" ht="27" x14ac:dyDescent="0.25">
      <c r="A53" s="199" t="s">
        <v>358</v>
      </c>
      <c r="B53" s="200" t="s">
        <v>359</v>
      </c>
      <c r="C53" s="200" t="s">
        <v>185</v>
      </c>
      <c r="D53" s="200" t="s">
        <v>7</v>
      </c>
      <c r="E53" s="200" t="s">
        <v>360</v>
      </c>
      <c r="F53" s="200" t="s">
        <v>186</v>
      </c>
      <c r="G53" s="200" t="s">
        <v>101</v>
      </c>
      <c r="H53" s="200" t="s">
        <v>361</v>
      </c>
      <c r="I53" s="201" t="str">
        <f>CONCATENATE(Table_Query_from_MS_Access_Database_2[RTE],Table_Query_from_MS_Access_Database_2[SEC],Table_Query_from_MS_Access_Database_2[SEQ])</f>
        <v>MMA0270</v>
      </c>
      <c r="J53" s="202">
        <v>43466</v>
      </c>
      <c r="K53" s="202"/>
      <c r="L53" s="202"/>
      <c r="M53" s="202"/>
      <c r="N53" s="202"/>
      <c r="O53" s="174">
        <v>979331</v>
      </c>
      <c r="P53" s="174"/>
      <c r="Q53" s="174"/>
      <c r="R53" s="174"/>
      <c r="S53" s="174"/>
      <c r="T53" s="174"/>
      <c r="U53" s="174"/>
      <c r="V53" s="174"/>
      <c r="W53" s="174"/>
      <c r="X53" s="174"/>
      <c r="Y53" s="174"/>
      <c r="Z53" s="174"/>
      <c r="AA53" s="174"/>
      <c r="AB53" s="174">
        <f>SUM(Table_Query_from_MS_Access_Database_2[[#This Row],[HURF EX]:[TAP Flex]])</f>
        <v>979331</v>
      </c>
      <c r="AC53" s="173">
        <f>AC52-Table_Query_from_MS_Access_Database_2[TOTAL OF AMOUNT]</f>
        <v>43415098.620000005</v>
      </c>
      <c r="AD53" s="91"/>
    </row>
    <row r="54" spans="1:30" s="48" customFormat="1" ht="27" x14ac:dyDescent="0.25">
      <c r="A54" s="199" t="s">
        <v>362</v>
      </c>
      <c r="B54" s="200" t="s">
        <v>363</v>
      </c>
      <c r="C54" s="200" t="s">
        <v>185</v>
      </c>
      <c r="D54" s="200" t="s">
        <v>7</v>
      </c>
      <c r="E54" s="200" t="s">
        <v>364</v>
      </c>
      <c r="F54" s="200" t="s">
        <v>186</v>
      </c>
      <c r="G54" s="200" t="s">
        <v>101</v>
      </c>
      <c r="H54" s="200" t="s">
        <v>365</v>
      </c>
      <c r="I54" s="201" t="str">
        <f>CONCATENATE(Table_Query_from_MS_Access_Database_2[RTE],Table_Query_from_MS_Access_Database_2[SEC],Table_Query_from_MS_Access_Database_2[SEQ])</f>
        <v>MMA0273</v>
      </c>
      <c r="J54" s="202">
        <v>43466</v>
      </c>
      <c r="K54" s="202"/>
      <c r="L54" s="202"/>
      <c r="M54" s="202"/>
      <c r="N54" s="202"/>
      <c r="O54" s="174">
        <v>122590</v>
      </c>
      <c r="P54" s="174"/>
      <c r="Q54" s="174"/>
      <c r="R54" s="174"/>
      <c r="S54" s="174"/>
      <c r="T54" s="174"/>
      <c r="U54" s="174"/>
      <c r="V54" s="174"/>
      <c r="W54" s="174"/>
      <c r="X54" s="174"/>
      <c r="Y54" s="174"/>
      <c r="Z54" s="174"/>
      <c r="AA54" s="174"/>
      <c r="AB54" s="174">
        <f>SUM(Table_Query_from_MS_Access_Database_2[[#This Row],[HURF EX]:[TAP Flex]])</f>
        <v>122590</v>
      </c>
      <c r="AC54" s="173">
        <f>AC53-Table_Query_from_MS_Access_Database_2[TOTAL OF AMOUNT]</f>
        <v>43292508.620000005</v>
      </c>
      <c r="AD54" s="91"/>
    </row>
    <row r="55" spans="1:30" s="48" customFormat="1" ht="27" x14ac:dyDescent="0.25">
      <c r="A55" s="199" t="s">
        <v>253</v>
      </c>
      <c r="B55" s="200" t="s">
        <v>432</v>
      </c>
      <c r="C55" s="200" t="s">
        <v>185</v>
      </c>
      <c r="D55" s="200" t="s">
        <v>8</v>
      </c>
      <c r="E55" s="200" t="s">
        <v>201</v>
      </c>
      <c r="F55" s="200" t="s">
        <v>186</v>
      </c>
      <c r="G55" s="200" t="s">
        <v>101</v>
      </c>
      <c r="H55" s="200" t="s">
        <v>266</v>
      </c>
      <c r="I55" s="201" t="str">
        <f>CONCATENATE(Table_Query_from_MS_Access_Database_2[RTE],Table_Query_from_MS_Access_Database_2[SEC],Table_Query_from_MS_Access_Database_2[SEQ])</f>
        <v>MMA0278</v>
      </c>
      <c r="J55" s="202">
        <v>43466</v>
      </c>
      <c r="K55" s="202"/>
      <c r="L55" s="202"/>
      <c r="M55" s="202"/>
      <c r="N55" s="202"/>
      <c r="O55" s="174"/>
      <c r="P55" s="174"/>
      <c r="Q55" s="174"/>
      <c r="R55" s="174"/>
      <c r="S55" s="174"/>
      <c r="T55" s="174"/>
      <c r="U55" s="174"/>
      <c r="V55" s="174"/>
      <c r="W55" s="174"/>
      <c r="X55" s="174"/>
      <c r="Y55" s="174">
        <v>47148</v>
      </c>
      <c r="Z55" s="174"/>
      <c r="AA55" s="174"/>
      <c r="AB55" s="174">
        <f>SUM(Table_Query_from_MS_Access_Database_2[[#This Row],[HURF EX]:[TAP Flex]])</f>
        <v>47148</v>
      </c>
      <c r="AC55" s="173">
        <f>AC54-Table_Query_from_MS_Access_Database_2[TOTAL OF AMOUNT]</f>
        <v>43245360.620000005</v>
      </c>
      <c r="AD55" s="91"/>
    </row>
    <row r="56" spans="1:30" ht="27" x14ac:dyDescent="0.25">
      <c r="A56" s="199" t="s">
        <v>254</v>
      </c>
      <c r="B56" s="200" t="s">
        <v>433</v>
      </c>
      <c r="C56" s="200" t="s">
        <v>185</v>
      </c>
      <c r="D56" s="200" t="s">
        <v>8</v>
      </c>
      <c r="E56" s="200" t="s">
        <v>202</v>
      </c>
      <c r="F56" s="200" t="s">
        <v>186</v>
      </c>
      <c r="G56" s="200" t="s">
        <v>101</v>
      </c>
      <c r="H56" s="200" t="s">
        <v>267</v>
      </c>
      <c r="I56" s="201" t="str">
        <f>CONCATENATE(Table_Query_from_MS_Access_Database_2[RTE],Table_Query_from_MS_Access_Database_2[SEC],Table_Query_from_MS_Access_Database_2[SEQ])</f>
        <v>MMA0277</v>
      </c>
      <c r="J56" s="202">
        <v>43466</v>
      </c>
      <c r="K56" s="202"/>
      <c r="L56" s="202"/>
      <c r="M56" s="202"/>
      <c r="N56" s="202"/>
      <c r="O56" s="174"/>
      <c r="P56" s="174"/>
      <c r="Q56" s="174"/>
      <c r="R56" s="174"/>
      <c r="S56" s="174"/>
      <c r="T56" s="174"/>
      <c r="U56" s="174"/>
      <c r="V56" s="174"/>
      <c r="W56" s="174"/>
      <c r="X56" s="174"/>
      <c r="Y56" s="174">
        <v>47148</v>
      </c>
      <c r="Z56" s="174"/>
      <c r="AA56" s="174"/>
      <c r="AB56" s="174">
        <f>SUM(Table_Query_from_MS_Access_Database_2[[#This Row],[HURF EX]:[TAP Flex]])</f>
        <v>47148</v>
      </c>
      <c r="AC56" s="173">
        <f>AC55-Table_Query_from_MS_Access_Database_2[TOTAL OF AMOUNT]</f>
        <v>43198212.620000005</v>
      </c>
    </row>
    <row r="57" spans="1:30" ht="40.5" x14ac:dyDescent="0.25">
      <c r="A57" s="199" t="s">
        <v>309</v>
      </c>
      <c r="B57" s="200" t="s">
        <v>431</v>
      </c>
      <c r="C57" s="200" t="s">
        <v>183</v>
      </c>
      <c r="D57" s="200" t="s">
        <v>7</v>
      </c>
      <c r="E57" s="200" t="s">
        <v>310</v>
      </c>
      <c r="F57" s="200" t="s">
        <v>184</v>
      </c>
      <c r="G57" s="200" t="s">
        <v>101</v>
      </c>
      <c r="H57" s="200" t="s">
        <v>180</v>
      </c>
      <c r="I57" s="201" t="str">
        <f>CONCATENATE(Table_Query_from_MS_Access_Database_2[RTE],Table_Query_from_MS_Access_Database_2[SEC],Table_Query_from_MS_Access_Database_2[SEQ])</f>
        <v>MES0TBD</v>
      </c>
      <c r="J57" s="202">
        <v>43466</v>
      </c>
      <c r="K57" s="202"/>
      <c r="L57" s="202"/>
      <c r="M57" s="202"/>
      <c r="N57" s="202"/>
      <c r="O57" s="174"/>
      <c r="P57" s="174"/>
      <c r="Q57" s="174"/>
      <c r="R57" s="174"/>
      <c r="S57" s="174"/>
      <c r="T57" s="174"/>
      <c r="U57" s="174"/>
      <c r="V57" s="174">
        <v>7487556</v>
      </c>
      <c r="W57" s="174"/>
      <c r="X57" s="174"/>
      <c r="Y57" s="174"/>
      <c r="Z57" s="174"/>
      <c r="AA57" s="174"/>
      <c r="AB57" s="174">
        <f>SUM(Table_Query_from_MS_Access_Database_2[[#This Row],[HURF EX]:[TAP Flex]])</f>
        <v>7487556</v>
      </c>
      <c r="AC57" s="173">
        <f>AC56-Table_Query_from_MS_Access_Database_2[TOTAL OF AMOUNT]</f>
        <v>35710656.620000005</v>
      </c>
    </row>
    <row r="58" spans="1:30" ht="27" x14ac:dyDescent="0.25">
      <c r="A58" s="199" t="s">
        <v>349</v>
      </c>
      <c r="B58" s="200" t="s">
        <v>350</v>
      </c>
      <c r="C58" s="200" t="s">
        <v>351</v>
      </c>
      <c r="D58" s="200" t="s">
        <v>7</v>
      </c>
      <c r="E58" s="200" t="s">
        <v>352</v>
      </c>
      <c r="F58" s="200" t="s">
        <v>353</v>
      </c>
      <c r="G58" s="200" t="s">
        <v>101</v>
      </c>
      <c r="H58" s="200" t="s">
        <v>193</v>
      </c>
      <c r="I58" s="201" t="str">
        <f>CONCATENATE(Table_Query_from_MS_Access_Database_2[RTE],Table_Query_from_MS_Access_Database_2[SEC],Table_Query_from_MS_Access_Database_2[SEQ])</f>
        <v>PVY0204</v>
      </c>
      <c r="J58" s="202">
        <v>43466</v>
      </c>
      <c r="K58" s="202"/>
      <c r="L58" s="202"/>
      <c r="M58" s="202"/>
      <c r="N58" s="202"/>
      <c r="O58" s="174">
        <v>1830031</v>
      </c>
      <c r="P58" s="174"/>
      <c r="Q58" s="174"/>
      <c r="R58" s="174"/>
      <c r="S58" s="174"/>
      <c r="T58" s="174"/>
      <c r="U58" s="174"/>
      <c r="V58" s="174"/>
      <c r="W58" s="174"/>
      <c r="X58" s="174"/>
      <c r="Y58" s="174"/>
      <c r="Z58" s="174"/>
      <c r="AA58" s="174"/>
      <c r="AB58" s="174">
        <f>SUM(Table_Query_from_MS_Access_Database_2[[#This Row],[HURF EX]:[TAP Flex]])</f>
        <v>1830031</v>
      </c>
      <c r="AC58" s="173">
        <f>AC57-Table_Query_from_MS_Access_Database_2[TOTAL OF AMOUNT]</f>
        <v>33880625.620000005</v>
      </c>
    </row>
    <row r="59" spans="1:30" x14ac:dyDescent="0.25">
      <c r="A59" s="199" t="s">
        <v>303</v>
      </c>
      <c r="B59" s="200" t="s">
        <v>303</v>
      </c>
      <c r="C59" s="200" t="s">
        <v>187</v>
      </c>
      <c r="D59" s="200" t="s">
        <v>7</v>
      </c>
      <c r="E59" s="200" t="s">
        <v>304</v>
      </c>
      <c r="F59" s="200" t="s">
        <v>188</v>
      </c>
      <c r="G59" s="200" t="s">
        <v>101</v>
      </c>
      <c r="H59" s="200" t="s">
        <v>180</v>
      </c>
      <c r="I59" s="201" t="str">
        <f>CONCATENATE(Table_Query_from_MS_Access_Database_2[RTE],Table_Query_from_MS_Access_Database_2[SEC],Table_Query_from_MS_Access_Database_2[SEQ])</f>
        <v>PHX0TBD</v>
      </c>
      <c r="J59" s="202">
        <v>43466</v>
      </c>
      <c r="K59" s="202"/>
      <c r="L59" s="202"/>
      <c r="M59" s="202"/>
      <c r="N59" s="202"/>
      <c r="O59" s="174">
        <v>913060</v>
      </c>
      <c r="P59" s="174"/>
      <c r="Q59" s="174"/>
      <c r="R59" s="174"/>
      <c r="S59" s="174"/>
      <c r="T59" s="174"/>
      <c r="U59" s="174"/>
      <c r="V59" s="174"/>
      <c r="W59" s="174"/>
      <c r="X59" s="174"/>
      <c r="Y59" s="174"/>
      <c r="Z59" s="174"/>
      <c r="AA59" s="174"/>
      <c r="AB59" s="174">
        <f>SUM(Table_Query_from_MS_Access_Database_2[[#This Row],[HURF EX]:[TAP Flex]])</f>
        <v>913060</v>
      </c>
      <c r="AC59" s="173">
        <f>AC58-Table_Query_from_MS_Access_Database_2[TOTAL OF AMOUNT]</f>
        <v>32967565.620000005</v>
      </c>
    </row>
    <row r="60" spans="1:30" x14ac:dyDescent="0.25">
      <c r="A60" s="199" t="s">
        <v>379</v>
      </c>
      <c r="B60" s="200" t="s">
        <v>380</v>
      </c>
      <c r="C60" s="200" t="s">
        <v>187</v>
      </c>
      <c r="D60" s="200" t="s">
        <v>7</v>
      </c>
      <c r="E60" s="200" t="s">
        <v>381</v>
      </c>
      <c r="F60" s="200" t="s">
        <v>188</v>
      </c>
      <c r="G60" s="200" t="s">
        <v>101</v>
      </c>
      <c r="H60" s="200" t="s">
        <v>382</v>
      </c>
      <c r="I60" s="201" t="str">
        <f>CONCATENATE(Table_Query_from_MS_Access_Database_2[RTE],Table_Query_from_MS_Access_Database_2[SEC],Table_Query_from_MS_Access_Database_2[SEQ])</f>
        <v>PHX0347</v>
      </c>
      <c r="J60" s="202">
        <v>43466</v>
      </c>
      <c r="K60" s="202"/>
      <c r="L60" s="202"/>
      <c r="M60" s="202"/>
      <c r="N60" s="202"/>
      <c r="O60" s="174"/>
      <c r="P60" s="174"/>
      <c r="Q60" s="174"/>
      <c r="R60" s="174"/>
      <c r="S60" s="174"/>
      <c r="T60" s="174"/>
      <c r="U60" s="174"/>
      <c r="V60" s="174"/>
      <c r="W60" s="174"/>
      <c r="X60" s="174"/>
      <c r="Y60" s="174"/>
      <c r="Z60" s="174">
        <v>830783</v>
      </c>
      <c r="AA60" s="174"/>
      <c r="AB60" s="174">
        <f>SUM(Table_Query_from_MS_Access_Database_2[[#This Row],[HURF EX]:[TAP Flex]])</f>
        <v>830783</v>
      </c>
      <c r="AC60" s="173">
        <f>AC59-Table_Query_from_MS_Access_Database_2[TOTAL OF AMOUNT]</f>
        <v>32136782.620000005</v>
      </c>
    </row>
    <row r="61" spans="1:30" ht="40.5" x14ac:dyDescent="0.25">
      <c r="A61" s="199" t="s">
        <v>383</v>
      </c>
      <c r="B61" s="200" t="s">
        <v>384</v>
      </c>
      <c r="C61" s="200" t="s">
        <v>187</v>
      </c>
      <c r="D61" s="200" t="s">
        <v>7</v>
      </c>
      <c r="E61" s="200" t="s">
        <v>385</v>
      </c>
      <c r="F61" s="200" t="s">
        <v>188</v>
      </c>
      <c r="G61" s="200" t="s">
        <v>101</v>
      </c>
      <c r="H61" s="200" t="s">
        <v>386</v>
      </c>
      <c r="I61" s="201" t="str">
        <f>CONCATENATE(Table_Query_from_MS_Access_Database_2[RTE],Table_Query_from_MS_Access_Database_2[SEC],Table_Query_from_MS_Access_Database_2[SEQ])</f>
        <v>PHX0348</v>
      </c>
      <c r="J61" s="202">
        <v>43466</v>
      </c>
      <c r="K61" s="202"/>
      <c r="L61" s="202"/>
      <c r="M61" s="202"/>
      <c r="N61" s="202"/>
      <c r="O61" s="174">
        <v>888895</v>
      </c>
      <c r="P61" s="174"/>
      <c r="Q61" s="174"/>
      <c r="R61" s="174"/>
      <c r="S61" s="174"/>
      <c r="T61" s="174"/>
      <c r="U61" s="174"/>
      <c r="V61" s="174"/>
      <c r="W61" s="174"/>
      <c r="X61" s="174"/>
      <c r="Y61" s="174"/>
      <c r="Z61" s="174"/>
      <c r="AA61" s="174"/>
      <c r="AB61" s="174">
        <f>SUM(Table_Query_from_MS_Access_Database_2[[#This Row],[HURF EX]:[TAP Flex]])</f>
        <v>888895</v>
      </c>
      <c r="AC61" s="173">
        <f>AC60-Table_Query_from_MS_Access_Database_2[TOTAL OF AMOUNT]</f>
        <v>31247887.620000005</v>
      </c>
    </row>
    <row r="62" spans="1:30" x14ac:dyDescent="0.25">
      <c r="A62" s="199" t="s">
        <v>387</v>
      </c>
      <c r="B62" s="200" t="s">
        <v>388</v>
      </c>
      <c r="C62" s="200" t="s">
        <v>187</v>
      </c>
      <c r="D62" s="200" t="s">
        <v>7</v>
      </c>
      <c r="E62" s="200" t="s">
        <v>389</v>
      </c>
      <c r="F62" s="200" t="s">
        <v>188</v>
      </c>
      <c r="G62" s="200" t="s">
        <v>101</v>
      </c>
      <c r="H62" s="200" t="s">
        <v>390</v>
      </c>
      <c r="I62" s="201" t="str">
        <f>CONCATENATE(Table_Query_from_MS_Access_Database_2[RTE],Table_Query_from_MS_Access_Database_2[SEC],Table_Query_from_MS_Access_Database_2[SEQ])</f>
        <v>PHX0350</v>
      </c>
      <c r="J62" s="202">
        <v>43466</v>
      </c>
      <c r="K62" s="202"/>
      <c r="L62" s="202"/>
      <c r="M62" s="202"/>
      <c r="N62" s="202"/>
      <c r="O62" s="174">
        <v>1621960</v>
      </c>
      <c r="P62" s="174"/>
      <c r="Q62" s="174"/>
      <c r="R62" s="174"/>
      <c r="S62" s="174"/>
      <c r="T62" s="174"/>
      <c r="U62" s="174"/>
      <c r="V62" s="174"/>
      <c r="W62" s="174"/>
      <c r="X62" s="174"/>
      <c r="Y62" s="174"/>
      <c r="Z62" s="174"/>
      <c r="AA62" s="174"/>
      <c r="AB62" s="174">
        <f>SUM(Table_Query_from_MS_Access_Database_2[[#This Row],[HURF EX]:[TAP Flex]])</f>
        <v>1621960</v>
      </c>
      <c r="AC62" s="173">
        <f>AC61-Table_Query_from_MS_Access_Database_2[TOTAL OF AMOUNT]</f>
        <v>29625927.620000005</v>
      </c>
    </row>
    <row r="63" spans="1:30" ht="27" x14ac:dyDescent="0.25">
      <c r="A63" s="199" t="s">
        <v>329</v>
      </c>
      <c r="B63" s="200" t="s">
        <v>330</v>
      </c>
      <c r="C63" s="200" t="s">
        <v>176</v>
      </c>
      <c r="D63" s="200" t="s">
        <v>7</v>
      </c>
      <c r="E63" s="200" t="s">
        <v>331</v>
      </c>
      <c r="F63" s="200" t="s">
        <v>177</v>
      </c>
      <c r="G63" s="200" t="s">
        <v>101</v>
      </c>
      <c r="H63" s="200" t="s">
        <v>332</v>
      </c>
      <c r="I63" s="201" t="str">
        <f>CONCATENATE(Table_Query_from_MS_Access_Database_2[RTE],Table_Query_from_MS_Access_Database_2[SEC],Table_Query_from_MS_Access_Database_2[SEQ])</f>
        <v>PPN0214</v>
      </c>
      <c r="J63" s="202">
        <v>43466</v>
      </c>
      <c r="K63" s="202"/>
      <c r="L63" s="202"/>
      <c r="M63" s="202"/>
      <c r="N63" s="202"/>
      <c r="O63" s="174"/>
      <c r="P63" s="174"/>
      <c r="Q63" s="174"/>
      <c r="R63" s="174"/>
      <c r="S63" s="174"/>
      <c r="T63" s="174"/>
      <c r="U63" s="174">
        <v>1630060</v>
      </c>
      <c r="V63" s="174"/>
      <c r="W63" s="174"/>
      <c r="X63" s="174"/>
      <c r="Y63" s="174"/>
      <c r="Z63" s="174"/>
      <c r="AA63" s="174"/>
      <c r="AB63" s="174">
        <f>SUM(Table_Query_from_MS_Access_Database_2[[#This Row],[HURF EX]:[TAP Flex]])</f>
        <v>1630060</v>
      </c>
      <c r="AC63" s="173">
        <f>AC62-Table_Query_from_MS_Access_Database_2[TOTAL OF AMOUNT]</f>
        <v>27995867.620000005</v>
      </c>
    </row>
    <row r="64" spans="1:30" ht="27" x14ac:dyDescent="0.25">
      <c r="A64" s="199" t="s">
        <v>333</v>
      </c>
      <c r="B64" s="200" t="s">
        <v>334</v>
      </c>
      <c r="C64" s="200" t="s">
        <v>176</v>
      </c>
      <c r="D64" s="200" t="s">
        <v>7</v>
      </c>
      <c r="E64" s="200" t="s">
        <v>331</v>
      </c>
      <c r="F64" s="200" t="s">
        <v>177</v>
      </c>
      <c r="G64" s="200" t="s">
        <v>101</v>
      </c>
      <c r="H64" s="200" t="s">
        <v>332</v>
      </c>
      <c r="I64" s="201" t="str">
        <f>CONCATENATE(Table_Query_from_MS_Access_Database_2[RTE],Table_Query_from_MS_Access_Database_2[SEC],Table_Query_from_MS_Access_Database_2[SEQ])</f>
        <v>PPN0214</v>
      </c>
      <c r="J64" s="202">
        <v>43374</v>
      </c>
      <c r="K64" s="202"/>
      <c r="L64" s="202"/>
      <c r="M64" s="202"/>
      <c r="N64" s="202"/>
      <c r="O64" s="174"/>
      <c r="P64" s="174"/>
      <c r="Q64" s="174"/>
      <c r="R64" s="174"/>
      <c r="S64" s="174"/>
      <c r="T64" s="174">
        <v>295841</v>
      </c>
      <c r="U64" s="174"/>
      <c r="V64" s="174"/>
      <c r="W64" s="174"/>
      <c r="X64" s="174"/>
      <c r="Y64" s="174"/>
      <c r="Z64" s="174"/>
      <c r="AA64" s="174"/>
      <c r="AB64" s="174">
        <f>SUM(Table_Query_from_MS_Access_Database_2[[#This Row],[HURF EX]:[TAP Flex]])</f>
        <v>295841</v>
      </c>
      <c r="AC64" s="173">
        <f>AC63-Table_Query_from_MS_Access_Database_2[TOTAL OF AMOUNT]</f>
        <v>27700026.620000005</v>
      </c>
    </row>
    <row r="65" spans="1:29" x14ac:dyDescent="0.25">
      <c r="A65" s="199" t="s">
        <v>335</v>
      </c>
      <c r="B65" s="200" t="s">
        <v>336</v>
      </c>
      <c r="C65" s="200" t="s">
        <v>176</v>
      </c>
      <c r="D65" s="200" t="s">
        <v>7</v>
      </c>
      <c r="E65" s="200" t="s">
        <v>337</v>
      </c>
      <c r="F65" s="200" t="s">
        <v>177</v>
      </c>
      <c r="G65" s="200" t="s">
        <v>101</v>
      </c>
      <c r="H65" s="200" t="s">
        <v>268</v>
      </c>
      <c r="I65" s="201" t="str">
        <f>CONCATENATE(Table_Query_from_MS_Access_Database_2[RTE],Table_Query_from_MS_Access_Database_2[SEC],Table_Query_from_MS_Access_Database_2[SEQ])</f>
        <v>PPN0216</v>
      </c>
      <c r="J65" s="202">
        <v>43466</v>
      </c>
      <c r="K65" s="202"/>
      <c r="L65" s="202"/>
      <c r="M65" s="202"/>
      <c r="N65" s="202"/>
      <c r="O65" s="174"/>
      <c r="P65" s="174">
        <v>612140</v>
      </c>
      <c r="Q65" s="174"/>
      <c r="R65" s="174"/>
      <c r="S65" s="174"/>
      <c r="T65" s="174"/>
      <c r="U65" s="174"/>
      <c r="V65" s="174"/>
      <c r="W65" s="174"/>
      <c r="X65" s="174"/>
      <c r="Y65" s="174"/>
      <c r="Z65" s="174"/>
      <c r="AA65" s="174"/>
      <c r="AB65" s="174">
        <f>SUM(Table_Query_from_MS_Access_Database_2[[#This Row],[HURF EX]:[TAP Flex]])</f>
        <v>612140</v>
      </c>
      <c r="AC65" s="173">
        <f>AC64-Table_Query_from_MS_Access_Database_2[TOTAL OF AMOUNT]</f>
        <v>27087886.620000005</v>
      </c>
    </row>
    <row r="66" spans="1:29" x14ac:dyDescent="0.25">
      <c r="A66" s="199" t="s">
        <v>338</v>
      </c>
      <c r="B66" s="200" t="s">
        <v>339</v>
      </c>
      <c r="C66" s="200" t="s">
        <v>176</v>
      </c>
      <c r="D66" s="200" t="s">
        <v>7</v>
      </c>
      <c r="E66" s="200" t="s">
        <v>340</v>
      </c>
      <c r="F66" s="200" t="s">
        <v>177</v>
      </c>
      <c r="G66" s="200" t="s">
        <v>101</v>
      </c>
      <c r="H66" s="200" t="s">
        <v>192</v>
      </c>
      <c r="I66" s="201" t="str">
        <f>CONCATENATE(Table_Query_from_MS_Access_Database_2[RTE],Table_Query_from_MS_Access_Database_2[SEC],Table_Query_from_MS_Access_Database_2[SEQ])</f>
        <v>PPN0217</v>
      </c>
      <c r="J66" s="202">
        <v>43466</v>
      </c>
      <c r="K66" s="202"/>
      <c r="L66" s="202"/>
      <c r="M66" s="202"/>
      <c r="N66" s="202"/>
      <c r="O66" s="174">
        <v>2143017</v>
      </c>
      <c r="P66" s="174"/>
      <c r="Q66" s="174"/>
      <c r="R66" s="174"/>
      <c r="S66" s="174"/>
      <c r="T66" s="174"/>
      <c r="U66" s="174"/>
      <c r="V66" s="174"/>
      <c r="W66" s="174"/>
      <c r="X66" s="174"/>
      <c r="Y66" s="174"/>
      <c r="Z66" s="174"/>
      <c r="AA66" s="174"/>
      <c r="AB66" s="174">
        <f>SUM(Table_Query_from_MS_Access_Database_2[[#This Row],[HURF EX]:[TAP Flex]])</f>
        <v>2143017</v>
      </c>
      <c r="AC66" s="173">
        <f>AC65-Table_Query_from_MS_Access_Database_2[TOTAL OF AMOUNT]</f>
        <v>24944869.620000005</v>
      </c>
    </row>
    <row r="67" spans="1:29" x14ac:dyDescent="0.25">
      <c r="A67" s="199" t="s">
        <v>305</v>
      </c>
      <c r="B67" s="200" t="s">
        <v>305</v>
      </c>
      <c r="C67" s="200" t="s">
        <v>189</v>
      </c>
      <c r="D67" s="200" t="s">
        <v>7</v>
      </c>
      <c r="E67" s="200" t="s">
        <v>306</v>
      </c>
      <c r="F67" s="200" t="s">
        <v>190</v>
      </c>
      <c r="G67" s="200" t="s">
        <v>101</v>
      </c>
      <c r="H67" s="200" t="s">
        <v>180</v>
      </c>
      <c r="I67" s="201" t="str">
        <f>CONCATENATE(Table_Query_from_MS_Access_Database_2[RTE],Table_Query_from_MS_Access_Database_2[SEC],Table_Query_from_MS_Access_Database_2[SEQ])</f>
        <v>SCT0TBD</v>
      </c>
      <c r="J67" s="202">
        <v>43466</v>
      </c>
      <c r="K67" s="202"/>
      <c r="L67" s="202"/>
      <c r="M67" s="202"/>
      <c r="N67" s="202"/>
      <c r="O67" s="174"/>
      <c r="P67" s="174"/>
      <c r="Q67" s="174"/>
      <c r="R67" s="174"/>
      <c r="S67" s="174"/>
      <c r="T67" s="174"/>
      <c r="U67" s="174"/>
      <c r="V67" s="174"/>
      <c r="W67" s="174"/>
      <c r="X67" s="174"/>
      <c r="Y67" s="174"/>
      <c r="Z67" s="174">
        <v>47149</v>
      </c>
      <c r="AA67" s="174"/>
      <c r="AB67" s="174">
        <f>SUM(Table_Query_from_MS_Access_Database_2[[#This Row],[HURF EX]:[TAP Flex]])</f>
        <v>47149</v>
      </c>
      <c r="AC67" s="173">
        <f>AC66-Table_Query_from_MS_Access_Database_2[TOTAL OF AMOUNT]</f>
        <v>24897720.620000005</v>
      </c>
    </row>
    <row r="68" spans="1:29" ht="27" x14ac:dyDescent="0.25">
      <c r="A68" s="199" t="s">
        <v>307</v>
      </c>
      <c r="B68" s="200" t="s">
        <v>307</v>
      </c>
      <c r="C68" s="200" t="s">
        <v>189</v>
      </c>
      <c r="D68" s="200" t="s">
        <v>7</v>
      </c>
      <c r="E68" s="200" t="s">
        <v>308</v>
      </c>
      <c r="F68" s="200" t="s">
        <v>190</v>
      </c>
      <c r="G68" s="200" t="s">
        <v>101</v>
      </c>
      <c r="H68" s="200" t="s">
        <v>180</v>
      </c>
      <c r="I68" s="201" t="str">
        <f>CONCATENATE(Table_Query_from_MS_Access_Database_2[RTE],Table_Query_from_MS_Access_Database_2[SEC],Table_Query_from_MS_Access_Database_2[SEQ])</f>
        <v>SCT0TBD</v>
      </c>
      <c r="J68" s="202">
        <v>43466</v>
      </c>
      <c r="K68" s="202"/>
      <c r="L68" s="202"/>
      <c r="M68" s="202"/>
      <c r="N68" s="202"/>
      <c r="O68" s="174">
        <v>1182569</v>
      </c>
      <c r="P68" s="174"/>
      <c r="Q68" s="174"/>
      <c r="R68" s="174"/>
      <c r="S68" s="174"/>
      <c r="T68" s="174"/>
      <c r="U68" s="174"/>
      <c r="V68" s="174"/>
      <c r="W68" s="174"/>
      <c r="X68" s="174"/>
      <c r="Y68" s="174"/>
      <c r="Z68" s="174"/>
      <c r="AA68" s="174"/>
      <c r="AB68" s="174">
        <f>SUM(Table_Query_from_MS_Access_Database_2[[#This Row],[HURF EX]:[TAP Flex]])</f>
        <v>1182569</v>
      </c>
      <c r="AC68" s="173">
        <f>AC67-Table_Query_from_MS_Access_Database_2[TOTAL OF AMOUNT]</f>
        <v>23715151.620000005</v>
      </c>
    </row>
    <row r="69" spans="1:29" x14ac:dyDescent="0.25">
      <c r="A69" s="199" t="s">
        <v>397</v>
      </c>
      <c r="B69" s="200" t="s">
        <v>232</v>
      </c>
      <c r="C69" s="200" t="s">
        <v>189</v>
      </c>
      <c r="D69" s="200" t="s">
        <v>7</v>
      </c>
      <c r="E69" s="200" t="s">
        <v>273</v>
      </c>
      <c r="F69" s="200" t="s">
        <v>190</v>
      </c>
      <c r="G69" s="200" t="s">
        <v>101</v>
      </c>
      <c r="H69" s="200" t="s">
        <v>235</v>
      </c>
      <c r="I69" s="201" t="str">
        <f>CONCATENATE(Table_Query_from_MS_Access_Database_2[RTE],Table_Query_from_MS_Access_Database_2[SEC],Table_Query_from_MS_Access_Database_2[SEQ])</f>
        <v>SCT0232</v>
      </c>
      <c r="J69" s="202">
        <v>43419</v>
      </c>
      <c r="K69" s="202"/>
      <c r="L69" s="202"/>
      <c r="M69" s="202"/>
      <c r="N69" s="202"/>
      <c r="O69" s="174"/>
      <c r="P69" s="174"/>
      <c r="Q69" s="174"/>
      <c r="R69" s="174"/>
      <c r="S69" s="174"/>
      <c r="T69" s="174"/>
      <c r="U69" s="174"/>
      <c r="V69" s="174"/>
      <c r="W69" s="174"/>
      <c r="X69" s="174"/>
      <c r="Y69" s="174"/>
      <c r="Z69" s="174">
        <v>47149</v>
      </c>
      <c r="AA69" s="174"/>
      <c r="AB69" s="174">
        <f>SUM(Table_Query_from_MS_Access_Database_2[[#This Row],[HURF EX]:[TAP Flex]])</f>
        <v>47149</v>
      </c>
      <c r="AC69" s="173">
        <f>AC68-Table_Query_from_MS_Access_Database_2[TOTAL OF AMOUNT]</f>
        <v>23668002.620000005</v>
      </c>
    </row>
    <row r="70" spans="1:29" ht="27" x14ac:dyDescent="0.25">
      <c r="A70" s="199" t="s">
        <v>315</v>
      </c>
      <c r="B70" s="200" t="s">
        <v>315</v>
      </c>
      <c r="C70" s="200" t="s">
        <v>203</v>
      </c>
      <c r="D70" s="200" t="s">
        <v>7</v>
      </c>
      <c r="E70" s="200" t="s">
        <v>316</v>
      </c>
      <c r="F70" s="200" t="s">
        <v>204</v>
      </c>
      <c r="G70" s="200" t="s">
        <v>101</v>
      </c>
      <c r="H70" s="200" t="s">
        <v>180</v>
      </c>
      <c r="I70" s="201" t="str">
        <f>CONCATENATE(Table_Query_from_MS_Access_Database_2[RTE],Table_Query_from_MS_Access_Database_2[SEC],Table_Query_from_MS_Access_Database_2[SEQ])</f>
        <v>SUR0TBD</v>
      </c>
      <c r="J70" s="202">
        <v>43466</v>
      </c>
      <c r="K70" s="202"/>
      <c r="L70" s="202"/>
      <c r="M70" s="202"/>
      <c r="N70" s="202"/>
      <c r="O70" s="174"/>
      <c r="P70" s="174"/>
      <c r="Q70" s="174"/>
      <c r="R70" s="174"/>
      <c r="S70" s="174"/>
      <c r="T70" s="174"/>
      <c r="U70" s="174"/>
      <c r="V70" s="174"/>
      <c r="W70" s="174"/>
      <c r="X70" s="174"/>
      <c r="Y70" s="174">
        <v>21740</v>
      </c>
      <c r="Z70" s="174"/>
      <c r="AA70" s="174"/>
      <c r="AB70" s="174">
        <f>SUM(Table_Query_from_MS_Access_Database_2[[#This Row],[HURF EX]:[TAP Flex]])</f>
        <v>21740</v>
      </c>
      <c r="AC70" s="173">
        <f>AC69-Table_Query_from_MS_Access_Database_2[TOTAL OF AMOUNT]</f>
        <v>23646262.620000005</v>
      </c>
    </row>
    <row r="71" spans="1:29" ht="27" x14ac:dyDescent="0.25">
      <c r="A71" s="199" t="s">
        <v>317</v>
      </c>
      <c r="B71" s="200" t="s">
        <v>317</v>
      </c>
      <c r="C71" s="200" t="s">
        <v>203</v>
      </c>
      <c r="D71" s="200" t="s">
        <v>7</v>
      </c>
      <c r="E71" s="200" t="s">
        <v>318</v>
      </c>
      <c r="F71" s="200" t="s">
        <v>204</v>
      </c>
      <c r="G71" s="200" t="s">
        <v>101</v>
      </c>
      <c r="H71" s="200" t="s">
        <v>180</v>
      </c>
      <c r="I71" s="201" t="str">
        <f>CONCATENATE(Table_Query_from_MS_Access_Database_2[RTE],Table_Query_from_MS_Access_Database_2[SEC],Table_Query_from_MS_Access_Database_2[SEQ])</f>
        <v>SUR0TBD</v>
      </c>
      <c r="J71" s="202">
        <v>43466</v>
      </c>
      <c r="K71" s="202"/>
      <c r="L71" s="202"/>
      <c r="M71" s="202"/>
      <c r="N71" s="202"/>
      <c r="O71" s="174"/>
      <c r="P71" s="174"/>
      <c r="Q71" s="174"/>
      <c r="R71" s="174"/>
      <c r="S71" s="174"/>
      <c r="T71" s="174"/>
      <c r="U71" s="174"/>
      <c r="V71" s="174"/>
      <c r="W71" s="174"/>
      <c r="X71" s="174"/>
      <c r="Y71" s="174">
        <v>21739</v>
      </c>
      <c r="Z71" s="174"/>
      <c r="AA71" s="174"/>
      <c r="AB71" s="174">
        <f>SUM(Table_Query_from_MS_Access_Database_2[[#This Row],[HURF EX]:[TAP Flex]])</f>
        <v>21739</v>
      </c>
      <c r="AC71" s="173">
        <f>AC70-Table_Query_from_MS_Access_Database_2[TOTAL OF AMOUNT]</f>
        <v>23624523.620000005</v>
      </c>
    </row>
    <row r="72" spans="1:29" x14ac:dyDescent="0.25">
      <c r="A72" s="199" t="s">
        <v>319</v>
      </c>
      <c r="B72" s="200" t="s">
        <v>319</v>
      </c>
      <c r="C72" s="200" t="s">
        <v>203</v>
      </c>
      <c r="D72" s="200" t="s">
        <v>7</v>
      </c>
      <c r="E72" s="200" t="s">
        <v>320</v>
      </c>
      <c r="F72" s="200" t="s">
        <v>204</v>
      </c>
      <c r="G72" s="200" t="s">
        <v>101</v>
      </c>
      <c r="H72" s="200" t="s">
        <v>180</v>
      </c>
      <c r="I72" s="201" t="str">
        <f>CONCATENATE(Table_Query_from_MS_Access_Database_2[RTE],Table_Query_from_MS_Access_Database_2[SEC],Table_Query_from_MS_Access_Database_2[SEQ])</f>
        <v>SUR0TBD</v>
      </c>
      <c r="J72" s="202">
        <v>43466</v>
      </c>
      <c r="K72" s="202"/>
      <c r="L72" s="202"/>
      <c r="M72" s="202"/>
      <c r="N72" s="202"/>
      <c r="O72" s="174"/>
      <c r="P72" s="174"/>
      <c r="Q72" s="174"/>
      <c r="R72" s="174"/>
      <c r="S72" s="174"/>
      <c r="T72" s="174"/>
      <c r="U72" s="174"/>
      <c r="V72" s="174"/>
      <c r="W72" s="174"/>
      <c r="X72" s="174"/>
      <c r="Y72" s="174">
        <v>21740</v>
      </c>
      <c r="Z72" s="174"/>
      <c r="AA72" s="174"/>
      <c r="AB72" s="174">
        <f>SUM(Table_Query_from_MS_Access_Database_2[[#This Row],[HURF EX]:[TAP Flex]])</f>
        <v>21740</v>
      </c>
      <c r="AC72" s="173">
        <f>AC71-Table_Query_from_MS_Access_Database_2[TOTAL OF AMOUNT]</f>
        <v>23602783.620000005</v>
      </c>
    </row>
    <row r="73" spans="1:29" ht="27" x14ac:dyDescent="0.25">
      <c r="A73" s="199" t="s">
        <v>321</v>
      </c>
      <c r="B73" s="200" t="s">
        <v>321</v>
      </c>
      <c r="C73" s="200" t="s">
        <v>203</v>
      </c>
      <c r="D73" s="200" t="s">
        <v>7</v>
      </c>
      <c r="E73" s="200" t="s">
        <v>322</v>
      </c>
      <c r="F73" s="200" t="s">
        <v>204</v>
      </c>
      <c r="G73" s="200" t="s">
        <v>101</v>
      </c>
      <c r="H73" s="200" t="s">
        <v>180</v>
      </c>
      <c r="I73" s="201" t="str">
        <f>CONCATENATE(Table_Query_from_MS_Access_Database_2[RTE],Table_Query_from_MS_Access_Database_2[SEC],Table_Query_from_MS_Access_Database_2[SEQ])</f>
        <v>SUR0TBD</v>
      </c>
      <c r="J73" s="202">
        <v>43466</v>
      </c>
      <c r="K73" s="202"/>
      <c r="L73" s="202"/>
      <c r="M73" s="202"/>
      <c r="N73" s="202"/>
      <c r="O73" s="174"/>
      <c r="P73" s="174"/>
      <c r="Q73" s="174"/>
      <c r="R73" s="174"/>
      <c r="S73" s="174"/>
      <c r="T73" s="174"/>
      <c r="U73" s="174"/>
      <c r="V73" s="174"/>
      <c r="W73" s="174"/>
      <c r="X73" s="174"/>
      <c r="Y73" s="174">
        <v>94300</v>
      </c>
      <c r="Z73" s="174"/>
      <c r="AA73" s="174"/>
      <c r="AB73" s="174">
        <f>SUM(Table_Query_from_MS_Access_Database_2[[#This Row],[HURF EX]:[TAP Flex]])</f>
        <v>94300</v>
      </c>
      <c r="AC73" s="173">
        <f>AC72-Table_Query_from_MS_Access_Database_2[TOTAL OF AMOUNT]</f>
        <v>23508483.620000005</v>
      </c>
    </row>
    <row r="74" spans="1:29" x14ac:dyDescent="0.25">
      <c r="A74" s="199" t="s">
        <v>369</v>
      </c>
      <c r="B74" s="200" t="s">
        <v>370</v>
      </c>
      <c r="C74" s="200" t="s">
        <v>194</v>
      </c>
      <c r="D74" s="200" t="s">
        <v>7</v>
      </c>
      <c r="E74" s="200" t="s">
        <v>371</v>
      </c>
      <c r="F74" s="200" t="s">
        <v>195</v>
      </c>
      <c r="G74" s="200" t="s">
        <v>101</v>
      </c>
      <c r="H74" s="200" t="s">
        <v>269</v>
      </c>
      <c r="I74" s="201" t="str">
        <f>CONCATENATE(Table_Query_from_MS_Access_Database_2[RTE],Table_Query_from_MS_Access_Database_2[SEC],Table_Query_from_MS_Access_Database_2[SEQ])</f>
        <v>TMP0250</v>
      </c>
      <c r="J74" s="202">
        <v>43466</v>
      </c>
      <c r="K74" s="202"/>
      <c r="L74" s="202"/>
      <c r="M74" s="202"/>
      <c r="N74" s="202"/>
      <c r="O74" s="174">
        <v>392010</v>
      </c>
      <c r="P74" s="174"/>
      <c r="Q74" s="174"/>
      <c r="R74" s="174"/>
      <c r="S74" s="174"/>
      <c r="T74" s="174"/>
      <c r="U74" s="174"/>
      <c r="V74" s="174"/>
      <c r="W74" s="174"/>
      <c r="X74" s="174"/>
      <c r="Y74" s="174"/>
      <c r="Z74" s="174"/>
      <c r="AA74" s="174"/>
      <c r="AB74" s="174">
        <f>SUM(Table_Query_from_MS_Access_Database_2[[#This Row],[HURF EX]:[TAP Flex]])</f>
        <v>392010</v>
      </c>
      <c r="AC74" s="173">
        <f>AC73-Table_Query_from_MS_Access_Database_2[TOTAL OF AMOUNT]</f>
        <v>23116473.620000005</v>
      </c>
    </row>
    <row r="75" spans="1:29" x14ac:dyDescent="0.25">
      <c r="A75" s="199" t="s">
        <v>372</v>
      </c>
      <c r="B75" s="200" t="s">
        <v>373</v>
      </c>
      <c r="C75" s="200" t="s">
        <v>194</v>
      </c>
      <c r="D75" s="200" t="s">
        <v>7</v>
      </c>
      <c r="E75" s="200" t="s">
        <v>374</v>
      </c>
      <c r="F75" s="200" t="s">
        <v>195</v>
      </c>
      <c r="G75" s="200" t="s">
        <v>101</v>
      </c>
      <c r="H75" s="200" t="s">
        <v>375</v>
      </c>
      <c r="I75" s="201" t="str">
        <f>CONCATENATE(Table_Query_from_MS_Access_Database_2[RTE],Table_Query_from_MS_Access_Database_2[SEC],Table_Query_from_MS_Access_Database_2[SEQ])</f>
        <v>TMP0251</v>
      </c>
      <c r="J75" s="202">
        <v>43466</v>
      </c>
      <c r="K75" s="202"/>
      <c r="L75" s="202"/>
      <c r="M75" s="202"/>
      <c r="N75" s="202"/>
      <c r="O75" s="174">
        <v>392010</v>
      </c>
      <c r="P75" s="174"/>
      <c r="Q75" s="174"/>
      <c r="R75" s="174"/>
      <c r="S75" s="174"/>
      <c r="T75" s="174"/>
      <c r="U75" s="174"/>
      <c r="V75" s="174"/>
      <c r="W75" s="174"/>
      <c r="X75" s="174"/>
      <c r="Y75" s="174"/>
      <c r="Z75" s="174"/>
      <c r="AA75" s="174"/>
      <c r="AB75" s="174">
        <f>SUM(Table_Query_from_MS_Access_Database_2[[#This Row],[HURF EX]:[TAP Flex]])</f>
        <v>392010</v>
      </c>
      <c r="AC75" s="173">
        <f>AC74-Table_Query_from_MS_Access_Database_2[TOTAL OF AMOUNT]</f>
        <v>22724463.620000005</v>
      </c>
    </row>
    <row r="76" spans="1:29" ht="27" x14ac:dyDescent="0.25">
      <c r="A76" s="199" t="s">
        <v>394</v>
      </c>
      <c r="B76" s="200" t="s">
        <v>395</v>
      </c>
      <c r="C76" s="200" t="s">
        <v>194</v>
      </c>
      <c r="D76" s="200" t="s">
        <v>7</v>
      </c>
      <c r="E76" s="200" t="s">
        <v>396</v>
      </c>
      <c r="F76" s="200" t="s">
        <v>195</v>
      </c>
      <c r="G76" s="200" t="s">
        <v>101</v>
      </c>
      <c r="H76" s="200" t="s">
        <v>180</v>
      </c>
      <c r="I76" s="201" t="str">
        <f>CONCATENATE(Table_Query_from_MS_Access_Database_2[RTE],Table_Query_from_MS_Access_Database_2[SEC],Table_Query_from_MS_Access_Database_2[SEQ])</f>
        <v>TMP0TBD</v>
      </c>
      <c r="J76" s="202">
        <v>43466</v>
      </c>
      <c r="K76" s="202"/>
      <c r="L76" s="202"/>
      <c r="M76" s="202"/>
      <c r="N76" s="202"/>
      <c r="O76" s="174"/>
      <c r="P76" s="174"/>
      <c r="Q76" s="174"/>
      <c r="R76" s="174"/>
      <c r="S76" s="174"/>
      <c r="T76" s="174"/>
      <c r="U76" s="174"/>
      <c r="V76" s="174"/>
      <c r="W76" s="174"/>
      <c r="X76" s="174"/>
      <c r="Y76" s="174"/>
      <c r="Z76" s="174">
        <v>1584282</v>
      </c>
      <c r="AA76" s="174"/>
      <c r="AB76" s="174">
        <f>SUM(Table_Query_from_MS_Access_Database_2[[#This Row],[HURF EX]:[TAP Flex]])</f>
        <v>1584282</v>
      </c>
      <c r="AC76" s="173">
        <f>AC75-Table_Query_from_MS_Access_Database_2[TOTAL OF AMOUNT]</f>
        <v>21140181.620000005</v>
      </c>
    </row>
    <row r="77" spans="1:29" x14ac:dyDescent="0.25">
      <c r="A77" s="48"/>
      <c r="B77" s="48"/>
      <c r="C77" s="48"/>
      <c r="D77" s="48"/>
      <c r="E77" s="48"/>
      <c r="F77" s="48"/>
      <c r="G77" s="48"/>
      <c r="H77" s="48"/>
      <c r="I77" s="48"/>
      <c r="J77" s="82"/>
      <c r="K77" s="82"/>
      <c r="L77" s="82"/>
      <c r="M77" s="74" t="s">
        <v>81</v>
      </c>
      <c r="N77" s="178">
        <f>SUM(Table_Query_from_MS_Access_Database_2[[#All],[HURF EX]])</f>
        <v>0</v>
      </c>
      <c r="O77" s="178">
        <f>SUM(Table_Query_from_MS_Access_Database_2[[#All],[CMAQ]])</f>
        <v>37850867</v>
      </c>
      <c r="P77" s="178">
        <f>SUM(Table_Query_from_MS_Access_Database_2[[#All],[CMAQ 2_5]])</f>
        <v>2678798</v>
      </c>
      <c r="Q77" s="178">
        <f>SUM(Table_Query_from_MS_Access_Database_2[[#All],[HSIP]])</f>
        <v>0</v>
      </c>
      <c r="R77" s="178">
        <f>SUM(Table_Query_from_MS_Access_Database_2[[#All],[PL]])</f>
        <v>0</v>
      </c>
      <c r="S77" s="178">
        <f>SUM(Table_Query_from_MS_Access_Database_2[[#All],[SPR]])</f>
        <v>0</v>
      </c>
      <c r="T77" s="178">
        <f>SUM(Table_Query_from_MS_Access_Database_2[[#All],[STP &lt;5]])</f>
        <v>295841</v>
      </c>
      <c r="U77" s="178">
        <f>SUM(Table_Query_from_MS_Access_Database_2[[#All],[STP 5-200]])</f>
        <v>1630060</v>
      </c>
      <c r="V77" s="178">
        <f>SUM(Table_Query_from_MS_Access_Database_2[[#All],[STP OVER 200K]])</f>
        <v>22966180</v>
      </c>
      <c r="W77" s="178">
        <f>SUM(Table_Query_from_MS_Access_Database_2[[#All],[STP OTHER]])</f>
        <v>0</v>
      </c>
      <c r="X77" s="178">
        <f>SUM(Table_Query_from_MS_Access_Database_2[[#All],[TAP &lt;5]])</f>
        <v>0</v>
      </c>
      <c r="Y77" s="178">
        <f>SUM(Table_Query_from_MS_Access_Database_2[[#All],[TAP 5-200]])</f>
        <v>350001</v>
      </c>
      <c r="Z77" s="178">
        <f>SUM(Table_Query_from_MS_Access_Database_2[[#All],[TA OVER 200K]])</f>
        <v>5001027</v>
      </c>
      <c r="AA77" s="178">
        <f>SUM(Table_Query_from_MS_Access_Database_2[[#All],[TAP Flex]])</f>
        <v>0</v>
      </c>
      <c r="AB77" s="178">
        <f>SUM(N77:AA77)</f>
        <v>70772774</v>
      </c>
    </row>
    <row r="78" spans="1:29" ht="27.75" thickBot="1" x14ac:dyDescent="0.3">
      <c r="A78" s="48"/>
      <c r="B78" s="48"/>
      <c r="C78" s="48"/>
      <c r="D78" s="48"/>
      <c r="E78" s="48"/>
      <c r="F78" s="48"/>
      <c r="G78" s="48"/>
      <c r="H78" s="48"/>
      <c r="I78" s="48"/>
      <c r="J78" s="82"/>
      <c r="K78" s="82"/>
      <c r="L78" s="82"/>
      <c r="M78" s="75" t="s">
        <v>80</v>
      </c>
      <c r="N78" s="179">
        <f t="shared" ref="N78:AB78" si="3">+N29-N77</f>
        <v>0</v>
      </c>
      <c r="O78" s="179">
        <f t="shared" si="3"/>
        <v>10898067.810000002</v>
      </c>
      <c r="P78" s="179">
        <f t="shared" si="3"/>
        <v>-1954581</v>
      </c>
      <c r="Q78" s="179">
        <f t="shared" si="3"/>
        <v>1184764.43</v>
      </c>
      <c r="R78" s="179">
        <f t="shared" si="3"/>
        <v>21138</v>
      </c>
      <c r="S78" s="179">
        <f t="shared" si="3"/>
        <v>0</v>
      </c>
      <c r="T78" s="179">
        <f t="shared" si="3"/>
        <v>924827</v>
      </c>
      <c r="U78" s="179">
        <f t="shared" si="3"/>
        <v>973713</v>
      </c>
      <c r="V78" s="179">
        <f t="shared" si="3"/>
        <v>77306899.439999998</v>
      </c>
      <c r="W78" s="179">
        <f t="shared" si="3"/>
        <v>-241873</v>
      </c>
      <c r="X78" s="179">
        <f t="shared" si="3"/>
        <v>153739</v>
      </c>
      <c r="Y78" s="179">
        <f t="shared" si="3"/>
        <v>-833</v>
      </c>
      <c r="Z78" s="179">
        <f t="shared" si="3"/>
        <v>4434444.1900000013</v>
      </c>
      <c r="AA78" s="179">
        <f t="shared" si="3"/>
        <v>0</v>
      </c>
      <c r="AB78" s="179">
        <f t="shared" si="3"/>
        <v>93700305.870000005</v>
      </c>
    </row>
    <row r="79" spans="1:29" x14ac:dyDescent="0.25">
      <c r="A79" s="46"/>
      <c r="B79" s="46"/>
      <c r="C79" s="46"/>
      <c r="D79" s="46"/>
      <c r="E79" s="46"/>
      <c r="F79" s="46"/>
      <c r="G79" s="46"/>
      <c r="H79" s="46"/>
      <c r="I79" s="46"/>
      <c r="J79" s="84"/>
      <c r="K79" s="84"/>
      <c r="L79" s="84"/>
      <c r="M79" s="84"/>
      <c r="N79" s="47"/>
      <c r="O79" s="53">
        <f t="shared" ref="O79:AA79" si="4">O28+O77</f>
        <v>46746942.590000004</v>
      </c>
      <c r="P79" s="53">
        <f t="shared" si="4"/>
        <v>2678798</v>
      </c>
      <c r="Q79" s="53">
        <f t="shared" si="4"/>
        <v>-83341.429999999993</v>
      </c>
      <c r="R79" s="53">
        <f t="shared" si="4"/>
        <v>4216991</v>
      </c>
      <c r="S79" s="53">
        <f t="shared" si="4"/>
        <v>1250000</v>
      </c>
      <c r="T79" s="53">
        <f t="shared" si="4"/>
        <v>295841</v>
      </c>
      <c r="U79" s="53">
        <f t="shared" si="4"/>
        <v>1630060</v>
      </c>
      <c r="V79" s="53">
        <f t="shared" si="4"/>
        <v>35580036</v>
      </c>
      <c r="W79" s="53">
        <f t="shared" si="4"/>
        <v>-250000</v>
      </c>
      <c r="X79" s="53">
        <f t="shared" si="4"/>
        <v>0</v>
      </c>
      <c r="Y79" s="53">
        <f t="shared" si="4"/>
        <v>350001</v>
      </c>
      <c r="Z79" s="53">
        <f t="shared" si="4"/>
        <v>4960052</v>
      </c>
      <c r="AA79" s="53">
        <f t="shared" si="4"/>
        <v>0</v>
      </c>
    </row>
    <row r="80" spans="1:29" x14ac:dyDescent="0.25">
      <c r="A80" s="46"/>
      <c r="B80" s="46"/>
      <c r="C80" s="46"/>
      <c r="D80" s="46"/>
      <c r="E80" s="46"/>
      <c r="F80" s="46"/>
      <c r="G80" s="46"/>
      <c r="H80" s="46"/>
      <c r="I80" s="46"/>
      <c r="J80" s="84"/>
      <c r="K80" s="84"/>
      <c r="L80" s="84"/>
      <c r="M80" s="84"/>
      <c r="N80" s="47"/>
      <c r="O80" s="47"/>
      <c r="P80" s="47"/>
      <c r="Q80" s="47"/>
      <c r="R80" s="47"/>
      <c r="S80" s="47"/>
      <c r="T80" s="43"/>
      <c r="U80" s="47"/>
      <c r="V80" s="53"/>
      <c r="W80" s="44"/>
      <c r="X80" s="45"/>
    </row>
    <row r="81" spans="1:29" ht="17.25" x14ac:dyDescent="0.25">
      <c r="A81" s="138" t="s">
        <v>82</v>
      </c>
      <c r="B81" s="46"/>
      <c r="C81" s="46"/>
      <c r="D81" s="46"/>
      <c r="E81" s="46"/>
      <c r="F81" s="46"/>
      <c r="G81" s="46"/>
      <c r="H81" s="46"/>
      <c r="I81" s="46"/>
      <c r="J81" s="84"/>
      <c r="K81" s="84"/>
      <c r="L81" s="84"/>
      <c r="M81" s="84"/>
      <c r="N81" s="204" t="s">
        <v>62</v>
      </c>
      <c r="O81" s="204"/>
      <c r="P81" s="204"/>
      <c r="Q81" s="204"/>
      <c r="R81" s="204"/>
      <c r="S81" s="204"/>
      <c r="T81" s="204"/>
      <c r="U81" s="204"/>
      <c r="V81" s="204"/>
      <c r="W81" s="204"/>
      <c r="X81" s="45"/>
    </row>
    <row r="82" spans="1:29" ht="27" x14ac:dyDescent="0.25">
      <c r="A82" s="46"/>
      <c r="B82" s="46"/>
      <c r="C82" s="46"/>
      <c r="D82" s="46"/>
      <c r="E82" s="46"/>
      <c r="F82" s="46"/>
      <c r="G82" s="46"/>
      <c r="H82" s="46"/>
      <c r="I82" s="46"/>
      <c r="J82" s="84"/>
      <c r="K82" s="84"/>
      <c r="L82" s="84"/>
      <c r="M82" s="85"/>
      <c r="N82" s="86" t="s">
        <v>261</v>
      </c>
      <c r="O82" s="86" t="s">
        <v>43</v>
      </c>
      <c r="P82" s="87" t="s">
        <v>44</v>
      </c>
      <c r="Q82" s="88" t="s">
        <v>64</v>
      </c>
      <c r="R82" s="87" t="s">
        <v>45</v>
      </c>
      <c r="S82" s="87" t="s">
        <v>59</v>
      </c>
      <c r="T82" s="87" t="s">
        <v>221</v>
      </c>
      <c r="U82" s="87" t="s">
        <v>222</v>
      </c>
      <c r="V82" s="87" t="s">
        <v>99</v>
      </c>
      <c r="W82" s="87" t="s">
        <v>6</v>
      </c>
      <c r="X82" s="87" t="s">
        <v>223</v>
      </c>
      <c r="Y82" s="87" t="s">
        <v>224</v>
      </c>
      <c r="Z82" s="87" t="s">
        <v>100</v>
      </c>
      <c r="AA82" s="87" t="s">
        <v>236</v>
      </c>
      <c r="AB82" s="89" t="s">
        <v>10</v>
      </c>
      <c r="AC82" s="90" t="s">
        <v>63</v>
      </c>
    </row>
    <row r="83" spans="1:29" x14ac:dyDescent="0.25">
      <c r="A83" s="48"/>
      <c r="B83" s="48"/>
      <c r="C83" s="48"/>
      <c r="D83" s="48"/>
      <c r="E83" s="48"/>
      <c r="F83" s="48"/>
      <c r="G83" s="48"/>
      <c r="H83" s="48"/>
      <c r="I83" s="145"/>
      <c r="J83" s="81"/>
      <c r="K83" s="81"/>
      <c r="L83" s="81"/>
      <c r="M83" s="145" t="s">
        <v>238</v>
      </c>
      <c r="N83" s="129">
        <v>0</v>
      </c>
      <c r="O83" s="129">
        <f>O78</f>
        <v>10898067.810000002</v>
      </c>
      <c r="P83" s="129">
        <f>P78</f>
        <v>-1954581</v>
      </c>
      <c r="Q83" s="129">
        <f>Q78</f>
        <v>1184764.43</v>
      </c>
      <c r="R83" s="129">
        <f>R78</f>
        <v>21138</v>
      </c>
      <c r="S83" s="129">
        <f>S78</f>
        <v>0</v>
      </c>
      <c r="T83" s="129">
        <f t="shared" ref="T83:X83" si="5">T78</f>
        <v>924827</v>
      </c>
      <c r="U83" s="129">
        <f>U78</f>
        <v>973713</v>
      </c>
      <c r="V83" s="129">
        <f t="shared" si="5"/>
        <v>77306899.439999998</v>
      </c>
      <c r="W83" s="129">
        <f t="shared" si="5"/>
        <v>-241873</v>
      </c>
      <c r="X83" s="129">
        <f t="shared" si="5"/>
        <v>153739</v>
      </c>
      <c r="Y83" s="129">
        <f>Y78</f>
        <v>-833</v>
      </c>
      <c r="Z83" s="129">
        <f>Z78</f>
        <v>4434444.1900000013</v>
      </c>
      <c r="AA83" s="129">
        <f>AA78</f>
        <v>0</v>
      </c>
      <c r="AB83" s="129">
        <f>+SUM(Table6[[#This Row],[HURF EX]:[TAP Flex]])</f>
        <v>93700305.870000005</v>
      </c>
      <c r="AC83" s="129">
        <f>+AC76</f>
        <v>21140181.620000005</v>
      </c>
    </row>
    <row r="84" spans="1:29" x14ac:dyDescent="0.25">
      <c r="A84" s="48"/>
      <c r="B84" s="48"/>
      <c r="C84" s="48"/>
      <c r="D84" s="48"/>
      <c r="E84" s="48"/>
      <c r="F84" s="48"/>
      <c r="G84" s="48"/>
      <c r="H84" s="48"/>
      <c r="I84" s="145"/>
      <c r="J84" s="81"/>
      <c r="K84" s="81"/>
      <c r="L84" s="81"/>
      <c r="M84" s="145" t="s">
        <v>239</v>
      </c>
      <c r="N84" s="130">
        <v>0</v>
      </c>
      <c r="O84" s="130">
        <v>0</v>
      </c>
      <c r="P84" s="130">
        <v>0</v>
      </c>
      <c r="Q84" s="130">
        <v>0</v>
      </c>
      <c r="R84" s="130">
        <v>0</v>
      </c>
      <c r="S84" s="130">
        <v>0</v>
      </c>
      <c r="T84" s="130">
        <v>0</v>
      </c>
      <c r="U84" s="130">
        <v>0</v>
      </c>
      <c r="V84" s="130">
        <v>0</v>
      </c>
      <c r="W84" s="130">
        <v>0</v>
      </c>
      <c r="X84" s="130">
        <v>0</v>
      </c>
      <c r="Y84" s="130">
        <v>0</v>
      </c>
      <c r="Z84" s="130">
        <v>0</v>
      </c>
      <c r="AA84" s="130">
        <v>0</v>
      </c>
      <c r="AB84" s="130">
        <f>+SUM(Table6[[#This Row],[HURF EX]:[TAP Flex]])</f>
        <v>0</v>
      </c>
      <c r="AC84" s="130">
        <f>SUMIFS(Table_Query_from_MS_Access_Database_16[[#All],[To]],Table_Query_from_MS_Access_Database_16[[#All],[Transaction Year]],"2019",Table_Query_from_MS_Access_Database_16[[#All],[Transaction Type]],"Lapsing")</f>
        <v>0</v>
      </c>
    </row>
    <row r="85" spans="1:29" x14ac:dyDescent="0.25">
      <c r="A85" s="48"/>
      <c r="B85" s="48"/>
      <c r="C85" s="48"/>
      <c r="D85" s="48"/>
      <c r="E85" s="48"/>
      <c r="F85" s="48"/>
      <c r="G85" s="48"/>
      <c r="H85" s="48"/>
      <c r="I85" s="145"/>
      <c r="J85" s="81"/>
      <c r="K85" s="81"/>
      <c r="L85" s="81"/>
      <c r="M85" s="145" t="s">
        <v>240</v>
      </c>
      <c r="N85" s="129">
        <f t="shared" ref="N85" si="6">N83+N84</f>
        <v>0</v>
      </c>
      <c r="O85" s="129">
        <v>0</v>
      </c>
      <c r="P85" s="129">
        <f t="shared" ref="P85:S85" si="7">P83+P84</f>
        <v>-1954581</v>
      </c>
      <c r="Q85" s="129">
        <f t="shared" si="7"/>
        <v>1184764.43</v>
      </c>
      <c r="R85" s="129">
        <f t="shared" si="7"/>
        <v>21138</v>
      </c>
      <c r="S85" s="129">
        <f t="shared" si="7"/>
        <v>0</v>
      </c>
      <c r="T85" s="129">
        <f t="shared" ref="T85" si="8">T83+T84</f>
        <v>924827</v>
      </c>
      <c r="U85" s="129">
        <f t="shared" ref="U85" si="9">U83+U84</f>
        <v>973713</v>
      </c>
      <c r="V85" s="129">
        <v>0</v>
      </c>
      <c r="W85" s="129">
        <f t="shared" ref="W85" si="10">W83+W84</f>
        <v>-241873</v>
      </c>
      <c r="X85" s="129">
        <f t="shared" ref="X85:Y85" si="11">X83+X84</f>
        <v>153739</v>
      </c>
      <c r="Y85" s="129">
        <f t="shared" si="11"/>
        <v>-833</v>
      </c>
      <c r="Z85" s="129">
        <v>0</v>
      </c>
      <c r="AA85" s="129">
        <f t="shared" ref="AA85" si="12">AA83+AA84</f>
        <v>0</v>
      </c>
      <c r="AB85" s="129">
        <f>+SUM(Table6[[#This Row],[HURF EX]:[TAP Flex]])</f>
        <v>1060894.43</v>
      </c>
      <c r="AC85" s="129">
        <f t="shared" ref="AC85" si="13">SUBTOTAL(109,AC83:AC84)</f>
        <v>21140181.620000005</v>
      </c>
    </row>
    <row r="86" spans="1:29" x14ac:dyDescent="0.25">
      <c r="A86" s="48"/>
      <c r="B86" s="48"/>
      <c r="C86" s="48"/>
      <c r="D86" s="48"/>
      <c r="E86" s="48"/>
      <c r="F86" s="48"/>
      <c r="G86" s="48"/>
      <c r="H86" s="48"/>
      <c r="I86" s="146"/>
      <c r="J86" s="81"/>
      <c r="K86" s="81"/>
      <c r="L86" s="81"/>
      <c r="M86" s="146" t="s">
        <v>241</v>
      </c>
      <c r="N86" s="129">
        <f t="shared" ref="N86" si="14">+N78-N83</f>
        <v>0</v>
      </c>
      <c r="O86" s="129">
        <f>O83-O85</f>
        <v>10898067.810000002</v>
      </c>
      <c r="P86" s="129">
        <f t="shared" ref="P86:Y86" si="15">+P78-P83</f>
        <v>0</v>
      </c>
      <c r="Q86" s="129">
        <f t="shared" si="15"/>
        <v>0</v>
      </c>
      <c r="R86" s="129">
        <f t="shared" si="15"/>
        <v>0</v>
      </c>
      <c r="S86" s="129">
        <f t="shared" si="15"/>
        <v>0</v>
      </c>
      <c r="T86" s="129">
        <f t="shared" si="15"/>
        <v>0</v>
      </c>
      <c r="U86" s="129">
        <f t="shared" si="15"/>
        <v>0</v>
      </c>
      <c r="V86" s="129">
        <f>V83-V85</f>
        <v>77306899.439999998</v>
      </c>
      <c r="W86" s="129">
        <f t="shared" si="15"/>
        <v>0</v>
      </c>
      <c r="X86" s="129">
        <f t="shared" si="15"/>
        <v>0</v>
      </c>
      <c r="Y86" s="129">
        <f t="shared" si="15"/>
        <v>0</v>
      </c>
      <c r="Z86" s="129">
        <f>Z83-Z85</f>
        <v>4434444.1900000013</v>
      </c>
      <c r="AA86" s="129">
        <f t="shared" ref="AA86" si="16">+AA78-AA83</f>
        <v>0</v>
      </c>
      <c r="AB86" s="129">
        <f>+SUM(Table6[[#This Row],[HURF EX]:[TAP Flex]])</f>
        <v>92639411.439999998</v>
      </c>
      <c r="AC86" s="129">
        <v>0</v>
      </c>
    </row>
  </sheetData>
  <sheetProtection autoFilter="0"/>
  <mergeCells count="10">
    <mergeCell ref="A31:D31"/>
    <mergeCell ref="N81:W81"/>
    <mergeCell ref="A1:F1"/>
    <mergeCell ref="A15:D15"/>
    <mergeCell ref="A9:L9"/>
    <mergeCell ref="A3:D3"/>
    <mergeCell ref="A4:D4"/>
    <mergeCell ref="J15:M15"/>
    <mergeCell ref="N2:AB2"/>
    <mergeCell ref="N1:AB1"/>
  </mergeCells>
  <pageMargins left="0.5" right="0.25" top="0.75" bottom="0.75" header="0.3" footer="0.3"/>
  <pageSetup paperSize="17" scale="56" fitToHeight="0" orientation="landscape" horizontalDpi="1200" verticalDpi="1200" r:id="rId1"/>
  <headerFooter>
    <oddFooter>&amp;L&amp;8&amp;Z&amp;F&amp;R&amp;P of &amp;N</oddFooter>
  </headerFooter>
  <legacy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V99"/>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17.5703125" style="25" customWidth="1"/>
    <col min="4" max="5" width="10.140625" style="25" customWidth="1"/>
    <col min="6" max="6" width="19.5703125" style="25" customWidth="1"/>
    <col min="7" max="7" width="19.28515625" style="25" customWidth="1"/>
    <col min="8" max="8" width="58.28515625" style="26" customWidth="1"/>
    <col min="9" max="9" width="14.28515625" style="25" customWidth="1"/>
    <col min="10" max="10" width="10.42578125" style="25" customWidth="1"/>
    <col min="11" max="11" width="13.140625" style="25" customWidth="1"/>
    <col min="12" max="12" width="18.42578125" style="25" customWidth="1"/>
    <col min="13" max="13" width="12.5703125" style="25" customWidth="1"/>
    <col min="14" max="14" width="9.7109375" style="25" customWidth="1"/>
    <col min="15" max="15" width="13.28515625" style="25" customWidth="1"/>
    <col min="16" max="16" width="10.42578125" style="25" customWidth="1"/>
    <col min="17" max="17" width="11.28515625" style="68" customWidth="1"/>
    <col min="18" max="19" width="14.28515625" style="68" customWidth="1"/>
    <col min="20" max="20" width="10.7109375" style="68" customWidth="1"/>
    <col min="21" max="21" width="11.5703125" style="68" customWidth="1"/>
    <col min="22" max="23" width="13" style="68" customWidth="1"/>
    <col min="24" max="24" width="12.28515625" style="68" customWidth="1"/>
    <col min="25" max="25" width="12.42578125" style="68" customWidth="1"/>
    <col min="26" max="26" width="8.7109375" style="68" customWidth="1"/>
    <col min="27" max="27" width="12" style="68" customWidth="1"/>
    <col min="28" max="28" width="13.28515625" style="68" customWidth="1"/>
    <col min="29" max="29" width="12.28515625" style="68" customWidth="1"/>
    <col min="30" max="30" width="11.42578125" style="68" customWidth="1"/>
    <col min="31" max="31" width="14.28515625" style="25" customWidth="1"/>
    <col min="32" max="32" width="17.42578125" style="25" customWidth="1"/>
    <col min="33" max="33" width="10.7109375" style="68" customWidth="1"/>
    <col min="34" max="34" width="11.42578125" style="68" customWidth="1"/>
    <col min="35" max="35" width="12.28515625" style="68" customWidth="1"/>
    <col min="36" max="36" width="16.42578125" style="68" customWidth="1"/>
    <col min="37" max="37" width="8.28515625" style="68" customWidth="1"/>
    <col min="38" max="38" width="9" style="68" customWidth="1"/>
    <col min="39" max="39" width="11.5703125" style="68" customWidth="1"/>
    <col min="40" max="40" width="13.85546875" style="68" customWidth="1"/>
    <col min="41" max="42" width="9.5703125" style="25" customWidth="1"/>
    <col min="43" max="43" width="11.85546875" style="25" customWidth="1"/>
    <col min="44" max="44" width="64.28515625" style="25" customWidth="1"/>
    <col min="45" max="45" width="14" style="25" customWidth="1"/>
    <col min="46" max="46" width="16.85546875" style="25" customWidth="1"/>
    <col min="47" max="47" width="12.140625" style="25" customWidth="1"/>
    <col min="48" max="48" width="16" style="25" customWidth="1"/>
    <col min="49" max="16384" width="19.7109375" style="9"/>
  </cols>
  <sheetData>
    <row r="1" spans="1:48" ht="18" x14ac:dyDescent="0.3">
      <c r="A1" s="216" t="str">
        <f>+'Federal Funds Transactions'!A1:F1</f>
        <v>Maricopa Association of Goverments</v>
      </c>
      <c r="B1" s="216"/>
      <c r="C1" s="216"/>
      <c r="D1" s="216"/>
      <c r="E1" s="216"/>
      <c r="F1" s="216"/>
    </row>
    <row r="2" spans="1:48" ht="14.45" x14ac:dyDescent="0.3">
      <c r="A2" s="27"/>
      <c r="B2" s="27"/>
      <c r="C2" s="27"/>
      <c r="D2" s="27"/>
      <c r="E2" s="27"/>
      <c r="F2" s="27"/>
    </row>
    <row r="3" spans="1:48" ht="14.45" x14ac:dyDescent="0.3">
      <c r="A3" s="217" t="s">
        <v>88</v>
      </c>
      <c r="B3" s="217"/>
      <c r="C3" s="217"/>
      <c r="D3" s="217"/>
      <c r="E3" s="217"/>
      <c r="F3" s="217"/>
    </row>
    <row r="4" spans="1:48" ht="14.45" x14ac:dyDescent="0.3">
      <c r="A4" s="28"/>
      <c r="B4" s="28"/>
      <c r="C4" s="28"/>
      <c r="D4" s="28"/>
      <c r="E4" s="28"/>
      <c r="F4" s="28"/>
    </row>
    <row r="5" spans="1:48" ht="14.45" x14ac:dyDescent="0.3">
      <c r="A5" s="25" t="s">
        <v>87</v>
      </c>
      <c r="B5" s="54">
        <f>'Federal Funds Transactions'!C5</f>
        <v>43404</v>
      </c>
      <c r="C5" s="27"/>
      <c r="D5" s="27"/>
      <c r="E5" s="27"/>
      <c r="F5" s="27"/>
    </row>
    <row r="6" spans="1:48" ht="14.45" x14ac:dyDescent="0.3">
      <c r="A6" s="27"/>
      <c r="B6" s="27"/>
      <c r="C6" s="27"/>
      <c r="D6" s="27"/>
      <c r="E6" s="27"/>
      <c r="F6" s="27"/>
    </row>
    <row r="7" spans="1:48" ht="15" customHeight="1" x14ac:dyDescent="0.3">
      <c r="A7" s="220" t="str">
        <f>+'Federal Funds Transactions'!A9:L9</f>
        <v>IMPORTANT! Please review the information in the Notes tab for further explanation of the data in this document.</v>
      </c>
      <c r="B7" s="220"/>
      <c r="C7" s="220"/>
      <c r="D7" s="220"/>
      <c r="E7" s="220"/>
      <c r="F7" s="220"/>
      <c r="G7" s="220"/>
      <c r="H7" s="220"/>
    </row>
    <row r="9" spans="1:48" ht="15.75" customHeight="1" x14ac:dyDescent="0.3">
      <c r="A9" s="218" t="s">
        <v>84</v>
      </c>
      <c r="B9" s="218"/>
      <c r="C9" s="218"/>
      <c r="D9" s="218"/>
      <c r="E9" s="218"/>
      <c r="F9" s="218"/>
      <c r="G9" s="21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48"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31"/>
      <c r="AV10" s="31"/>
    </row>
    <row r="11" spans="1:48" x14ac:dyDescent="0.25">
      <c r="A11" s="57" t="s">
        <v>46</v>
      </c>
      <c r="B11" s="58" t="s">
        <v>47</v>
      </c>
      <c r="C11" s="58" t="s">
        <v>13</v>
      </c>
      <c r="D11" s="58" t="s">
        <v>93</v>
      </c>
      <c r="E11" s="58" t="s">
        <v>94</v>
      </c>
      <c r="F11" s="58" t="s">
        <v>48</v>
      </c>
      <c r="G11" s="58" t="s">
        <v>95</v>
      </c>
      <c r="H11" s="58" t="s">
        <v>96</v>
      </c>
      <c r="I11" s="58" t="s">
        <v>10</v>
      </c>
      <c r="J11" s="58" t="s">
        <v>43</v>
      </c>
      <c r="K11" s="58" t="s">
        <v>248</v>
      </c>
      <c r="L11" s="58" t="s">
        <v>259</v>
      </c>
      <c r="M11" s="58" t="s">
        <v>4</v>
      </c>
      <c r="N11" s="58" t="s">
        <v>249</v>
      </c>
      <c r="O11" s="59" t="s">
        <v>5</v>
      </c>
      <c r="P11" s="59" t="s">
        <v>221</v>
      </c>
      <c r="Q11" s="59" t="s">
        <v>222</v>
      </c>
      <c r="R11" s="59" t="s">
        <v>250</v>
      </c>
      <c r="S11" s="59" t="s">
        <v>251</v>
      </c>
      <c r="T11" s="59" t="s">
        <v>223</v>
      </c>
      <c r="U11" s="59" t="s">
        <v>224</v>
      </c>
      <c r="V11" s="59" t="s">
        <v>252</v>
      </c>
      <c r="W11" s="59" t="s">
        <v>260</v>
      </c>
      <c r="X11" s="58" t="s">
        <v>236</v>
      </c>
      <c r="Y11" s="31"/>
      <c r="Z11" s="31"/>
      <c r="AA11" s="31"/>
      <c r="AB11" s="31"/>
      <c r="AC11" s="31"/>
      <c r="AD11" s="31"/>
      <c r="AE11" s="31"/>
      <c r="AF11" s="31"/>
      <c r="AG11" s="31"/>
      <c r="AH11" s="31"/>
      <c r="AI11" s="9"/>
      <c r="AJ11" s="9"/>
      <c r="AK11" s="9"/>
      <c r="AL11" s="9"/>
      <c r="AM11" s="9"/>
      <c r="AN11" s="9"/>
      <c r="AO11" s="9"/>
      <c r="AP11" s="9"/>
      <c r="AQ11" s="9"/>
      <c r="AR11" s="9"/>
      <c r="AS11" s="9"/>
      <c r="AT11" s="9"/>
      <c r="AU11" s="9"/>
      <c r="AV11" s="9"/>
    </row>
    <row r="12" spans="1:48" s="108" customFormat="1" ht="13.5" x14ac:dyDescent="0.25">
      <c r="A12" s="105" t="s">
        <v>104</v>
      </c>
      <c r="B12" s="106" t="s">
        <v>103</v>
      </c>
      <c r="C12" s="106" t="s">
        <v>105</v>
      </c>
      <c r="D12" s="106" t="s">
        <v>102</v>
      </c>
      <c r="E12" s="106" t="s">
        <v>49</v>
      </c>
      <c r="F12" s="106" t="s">
        <v>106</v>
      </c>
      <c r="G12" s="106"/>
      <c r="H12" s="106" t="s">
        <v>107</v>
      </c>
      <c r="I12" s="106">
        <v>1250000</v>
      </c>
      <c r="J12" s="106"/>
      <c r="K12" s="106"/>
      <c r="L12" s="106"/>
      <c r="M12" s="106"/>
      <c r="N12" s="106"/>
      <c r="O12" s="171">
        <v>1250000</v>
      </c>
      <c r="P12" s="171"/>
      <c r="Q12" s="171"/>
      <c r="R12" s="171"/>
      <c r="S12" s="171"/>
      <c r="T12" s="171"/>
      <c r="U12" s="171"/>
      <c r="V12" s="171"/>
      <c r="W12" s="171"/>
      <c r="X12" s="171"/>
      <c r="Y12" s="107"/>
      <c r="Z12" s="107"/>
      <c r="AA12" s="107"/>
      <c r="AB12" s="107"/>
      <c r="AC12" s="107"/>
      <c r="AD12" s="107"/>
      <c r="AE12" s="107"/>
      <c r="AF12" s="107"/>
      <c r="AG12" s="107"/>
      <c r="AH12" s="107"/>
    </row>
    <row r="13" spans="1:48" s="108" customFormat="1" ht="13.5" x14ac:dyDescent="0.25">
      <c r="A13" s="105" t="s">
        <v>104</v>
      </c>
      <c r="B13" s="106" t="s">
        <v>103</v>
      </c>
      <c r="C13" s="106" t="s">
        <v>108</v>
      </c>
      <c r="D13" s="106" t="s">
        <v>49</v>
      </c>
      <c r="E13" s="106" t="s">
        <v>109</v>
      </c>
      <c r="F13" s="106"/>
      <c r="G13" s="106"/>
      <c r="H13" s="106" t="s">
        <v>110</v>
      </c>
      <c r="I13" s="106">
        <v>1015069</v>
      </c>
      <c r="J13" s="106"/>
      <c r="K13" s="106"/>
      <c r="L13" s="106"/>
      <c r="M13" s="106"/>
      <c r="N13" s="106"/>
      <c r="O13" s="171"/>
      <c r="P13" s="171"/>
      <c r="Q13" s="171"/>
      <c r="R13" s="171"/>
      <c r="S13" s="171">
        <v>1015069</v>
      </c>
      <c r="T13" s="171"/>
      <c r="U13" s="171"/>
      <c r="V13" s="171"/>
      <c r="W13" s="171"/>
      <c r="X13" s="171"/>
      <c r="Y13" s="107"/>
      <c r="Z13" s="107"/>
      <c r="AA13" s="107"/>
      <c r="AB13" s="107"/>
      <c r="AC13" s="107"/>
      <c r="AD13" s="107"/>
      <c r="AE13" s="107"/>
      <c r="AF13" s="107"/>
      <c r="AG13" s="107"/>
      <c r="AH13" s="107"/>
    </row>
    <row r="14" spans="1:48" s="108" customFormat="1" ht="13.5" x14ac:dyDescent="0.25">
      <c r="A14" s="105" t="s">
        <v>104</v>
      </c>
      <c r="B14" s="106" t="s">
        <v>91</v>
      </c>
      <c r="C14" s="106" t="s">
        <v>111</v>
      </c>
      <c r="D14" s="106" t="s">
        <v>112</v>
      </c>
      <c r="E14" s="106" t="s">
        <v>49</v>
      </c>
      <c r="F14" s="106" t="s">
        <v>113</v>
      </c>
      <c r="G14" s="106"/>
      <c r="H14" s="106" t="s">
        <v>114</v>
      </c>
      <c r="I14" s="106">
        <v>565445</v>
      </c>
      <c r="J14" s="106"/>
      <c r="K14" s="106"/>
      <c r="L14" s="106"/>
      <c r="M14" s="106"/>
      <c r="N14" s="106"/>
      <c r="O14" s="171"/>
      <c r="P14" s="171"/>
      <c r="Q14" s="171"/>
      <c r="R14" s="171"/>
      <c r="S14" s="171">
        <v>565445</v>
      </c>
      <c r="T14" s="171"/>
      <c r="U14" s="171"/>
      <c r="V14" s="171"/>
      <c r="W14" s="171"/>
      <c r="X14" s="171"/>
      <c r="Y14" s="107"/>
      <c r="Z14" s="107"/>
      <c r="AA14" s="107"/>
      <c r="AB14" s="107"/>
      <c r="AC14" s="107"/>
      <c r="AD14" s="107"/>
      <c r="AE14" s="107"/>
      <c r="AF14" s="107"/>
      <c r="AG14" s="107"/>
      <c r="AH14" s="107"/>
    </row>
    <row r="15" spans="1:48" s="108" customFormat="1" ht="13.5" x14ac:dyDescent="0.25">
      <c r="A15" s="105" t="s">
        <v>104</v>
      </c>
      <c r="B15" s="106" t="s">
        <v>91</v>
      </c>
      <c r="C15" s="106" t="s">
        <v>115</v>
      </c>
      <c r="D15" s="106" t="s">
        <v>102</v>
      </c>
      <c r="E15" s="106" t="s">
        <v>49</v>
      </c>
      <c r="F15" s="106" t="s">
        <v>104</v>
      </c>
      <c r="G15" s="106" t="s">
        <v>116</v>
      </c>
      <c r="H15" s="106" t="s">
        <v>117</v>
      </c>
      <c r="I15" s="106">
        <v>1722861</v>
      </c>
      <c r="J15" s="106"/>
      <c r="K15" s="106"/>
      <c r="L15" s="106"/>
      <c r="M15" s="106">
        <v>1722861</v>
      </c>
      <c r="N15" s="106"/>
      <c r="O15" s="171"/>
      <c r="P15" s="171"/>
      <c r="Q15" s="171"/>
      <c r="R15" s="171"/>
      <c r="S15" s="171"/>
      <c r="T15" s="171"/>
      <c r="U15" s="171"/>
      <c r="V15" s="171"/>
      <c r="W15" s="171"/>
      <c r="X15" s="171"/>
      <c r="Y15" s="107"/>
      <c r="Z15" s="107"/>
      <c r="AA15" s="107"/>
      <c r="AB15" s="107"/>
      <c r="AC15" s="107"/>
      <c r="AD15" s="107"/>
      <c r="AE15" s="107"/>
      <c r="AF15" s="107"/>
      <c r="AG15" s="107"/>
      <c r="AH15" s="107"/>
    </row>
    <row r="16" spans="1:48" s="108" customFormat="1" ht="13.5" x14ac:dyDescent="0.25">
      <c r="A16" s="105" t="s">
        <v>104</v>
      </c>
      <c r="B16" s="106" t="s">
        <v>91</v>
      </c>
      <c r="C16" s="106" t="s">
        <v>118</v>
      </c>
      <c r="D16" s="106" t="s">
        <v>102</v>
      </c>
      <c r="E16" s="106" t="s">
        <v>49</v>
      </c>
      <c r="F16" s="106" t="s">
        <v>104</v>
      </c>
      <c r="G16" s="106" t="s">
        <v>119</v>
      </c>
      <c r="H16" s="106" t="s">
        <v>117</v>
      </c>
      <c r="I16" s="106">
        <v>647765</v>
      </c>
      <c r="J16" s="106"/>
      <c r="K16" s="106"/>
      <c r="L16" s="106"/>
      <c r="M16" s="106">
        <v>647765</v>
      </c>
      <c r="N16" s="106"/>
      <c r="O16" s="171"/>
      <c r="P16" s="171"/>
      <c r="Q16" s="171"/>
      <c r="R16" s="171"/>
      <c r="S16" s="171"/>
      <c r="T16" s="171"/>
      <c r="U16" s="171"/>
      <c r="V16" s="171"/>
      <c r="W16" s="171"/>
      <c r="X16" s="171"/>
      <c r="Y16" s="107"/>
      <c r="Z16" s="107"/>
      <c r="AA16" s="107"/>
      <c r="AB16" s="107"/>
      <c r="AC16" s="107"/>
      <c r="AD16" s="107"/>
      <c r="AE16" s="107"/>
      <c r="AF16" s="107"/>
      <c r="AG16" s="107"/>
      <c r="AH16" s="107"/>
    </row>
    <row r="17" spans="1:48" s="108" customFormat="1" ht="13.5" x14ac:dyDescent="0.25">
      <c r="A17" s="109" t="s">
        <v>104</v>
      </c>
      <c r="B17" s="110" t="s">
        <v>91</v>
      </c>
      <c r="C17" s="110" t="s">
        <v>120</v>
      </c>
      <c r="D17" s="110" t="s">
        <v>102</v>
      </c>
      <c r="E17" s="110" t="s">
        <v>49</v>
      </c>
      <c r="F17" s="110" t="s">
        <v>104</v>
      </c>
      <c r="G17" s="110" t="s">
        <v>121</v>
      </c>
      <c r="H17" s="110" t="s">
        <v>117</v>
      </c>
      <c r="I17" s="110">
        <v>775618</v>
      </c>
      <c r="J17" s="110"/>
      <c r="K17" s="110"/>
      <c r="L17" s="110"/>
      <c r="M17" s="110">
        <v>775618</v>
      </c>
      <c r="N17" s="110"/>
      <c r="O17" s="171"/>
      <c r="P17" s="171"/>
      <c r="Q17" s="171"/>
      <c r="R17" s="171"/>
      <c r="S17" s="171"/>
      <c r="T17" s="171"/>
      <c r="U17" s="171"/>
      <c r="V17" s="171"/>
      <c r="W17" s="171"/>
      <c r="X17" s="171"/>
      <c r="Y17" s="107"/>
      <c r="Z17" s="107"/>
      <c r="AA17" s="107"/>
      <c r="AB17" s="107"/>
      <c r="AC17" s="107"/>
      <c r="AD17" s="107"/>
      <c r="AE17" s="107"/>
      <c r="AF17" s="107"/>
      <c r="AG17" s="107"/>
      <c r="AH17" s="107"/>
    </row>
    <row r="18" spans="1:48" s="108" customFormat="1" ht="13.5" x14ac:dyDescent="0.25">
      <c r="A18" s="105" t="s">
        <v>104</v>
      </c>
      <c r="B18" s="106" t="s">
        <v>91</v>
      </c>
      <c r="C18" s="106" t="s">
        <v>122</v>
      </c>
      <c r="D18" s="106" t="s">
        <v>102</v>
      </c>
      <c r="E18" s="106" t="s">
        <v>49</v>
      </c>
      <c r="F18" s="106" t="s">
        <v>104</v>
      </c>
      <c r="G18" s="106" t="s">
        <v>123</v>
      </c>
      <c r="H18" s="106" t="s">
        <v>117</v>
      </c>
      <c r="I18" s="106">
        <v>203637</v>
      </c>
      <c r="J18" s="106"/>
      <c r="K18" s="106"/>
      <c r="L18" s="106"/>
      <c r="M18" s="106">
        <v>203637</v>
      </c>
      <c r="N18" s="106"/>
      <c r="O18" s="171"/>
      <c r="P18" s="171"/>
      <c r="Q18" s="171"/>
      <c r="R18" s="171"/>
      <c r="S18" s="171"/>
      <c r="T18" s="171"/>
      <c r="U18" s="171"/>
      <c r="V18" s="171"/>
      <c r="W18" s="171"/>
      <c r="X18" s="171"/>
      <c r="Y18" s="107"/>
      <c r="Z18" s="107"/>
      <c r="AA18" s="107"/>
      <c r="AB18" s="107"/>
      <c r="AC18" s="107"/>
      <c r="AD18" s="107"/>
      <c r="AE18" s="107"/>
      <c r="AF18" s="107"/>
      <c r="AG18" s="107"/>
      <c r="AH18" s="107"/>
      <c r="AI18" s="111"/>
      <c r="AJ18" s="111"/>
      <c r="AK18" s="111"/>
      <c r="AL18" s="111"/>
    </row>
    <row r="19" spans="1:48" s="108" customFormat="1" ht="13.5" x14ac:dyDescent="0.25">
      <c r="A19" s="105" t="s">
        <v>106</v>
      </c>
      <c r="B19" s="106" t="s">
        <v>150</v>
      </c>
      <c r="C19" s="106" t="s">
        <v>151</v>
      </c>
      <c r="D19" s="106" t="s">
        <v>49</v>
      </c>
      <c r="E19" s="106" t="s">
        <v>102</v>
      </c>
      <c r="F19" s="106" t="s">
        <v>113</v>
      </c>
      <c r="G19" s="106"/>
      <c r="H19" s="106" t="s">
        <v>152</v>
      </c>
      <c r="I19" s="106">
        <v>-12825755.34</v>
      </c>
      <c r="J19" s="106"/>
      <c r="K19" s="106"/>
      <c r="L19" s="106"/>
      <c r="M19" s="106">
        <v>-0.34</v>
      </c>
      <c r="N19" s="106"/>
      <c r="O19" s="171"/>
      <c r="P19" s="171"/>
      <c r="Q19" s="171"/>
      <c r="R19" s="171"/>
      <c r="S19" s="171">
        <v>-12360067</v>
      </c>
      <c r="T19" s="171"/>
      <c r="U19" s="171"/>
      <c r="V19" s="171"/>
      <c r="W19" s="171"/>
      <c r="X19" s="171">
        <v>-465688</v>
      </c>
      <c r="Y19" s="107"/>
      <c r="Z19" s="107"/>
      <c r="AA19" s="107"/>
      <c r="AB19" s="107"/>
      <c r="AC19" s="107"/>
      <c r="AD19" s="107"/>
      <c r="AE19" s="107"/>
      <c r="AF19" s="107"/>
      <c r="AG19" s="107"/>
      <c r="AH19" s="107"/>
      <c r="AI19" s="111"/>
      <c r="AJ19" s="111"/>
      <c r="AK19" s="111"/>
      <c r="AL19" s="111"/>
    </row>
    <row r="20" spans="1:48" s="108" customFormat="1" ht="13.5" x14ac:dyDescent="0.25">
      <c r="A20" s="105" t="s">
        <v>106</v>
      </c>
      <c r="B20" s="106" t="s">
        <v>103</v>
      </c>
      <c r="C20" s="106" t="s">
        <v>157</v>
      </c>
      <c r="D20" s="106" t="s">
        <v>102</v>
      </c>
      <c r="E20" s="106" t="s">
        <v>49</v>
      </c>
      <c r="F20" s="106" t="s">
        <v>125</v>
      </c>
      <c r="G20" s="106"/>
      <c r="H20" s="106" t="s">
        <v>158</v>
      </c>
      <c r="I20" s="106">
        <v>49157</v>
      </c>
      <c r="J20" s="106"/>
      <c r="K20" s="106"/>
      <c r="L20" s="106"/>
      <c r="M20" s="106">
        <v>49157</v>
      </c>
      <c r="N20" s="106"/>
      <c r="O20" s="171"/>
      <c r="P20" s="171"/>
      <c r="Q20" s="171"/>
      <c r="R20" s="171"/>
      <c r="S20" s="171"/>
      <c r="T20" s="171"/>
      <c r="U20" s="171"/>
      <c r="V20" s="171"/>
      <c r="W20" s="171"/>
      <c r="X20" s="171"/>
      <c r="Y20" s="107"/>
      <c r="Z20" s="107"/>
      <c r="AA20" s="107"/>
      <c r="AB20" s="107"/>
      <c r="AC20" s="107"/>
      <c r="AD20" s="107"/>
      <c r="AE20" s="107"/>
      <c r="AF20" s="107"/>
      <c r="AG20" s="107"/>
      <c r="AH20" s="107"/>
      <c r="AI20" s="111"/>
      <c r="AJ20" s="111"/>
      <c r="AK20" s="111"/>
      <c r="AL20" s="111"/>
    </row>
    <row r="21" spans="1:48" s="108" customFormat="1" ht="13.5" x14ac:dyDescent="0.25">
      <c r="A21" s="105" t="s">
        <v>106</v>
      </c>
      <c r="B21" s="106" t="s">
        <v>103</v>
      </c>
      <c r="C21" s="106" t="s">
        <v>127</v>
      </c>
      <c r="D21" s="106" t="s">
        <v>128</v>
      </c>
      <c r="E21" s="106" t="s">
        <v>49</v>
      </c>
      <c r="F21" s="106" t="s">
        <v>129</v>
      </c>
      <c r="G21" s="106"/>
      <c r="H21" s="106" t="s">
        <v>130</v>
      </c>
      <c r="I21" s="106">
        <v>4252198</v>
      </c>
      <c r="J21" s="106"/>
      <c r="K21" s="106"/>
      <c r="L21" s="106"/>
      <c r="M21" s="106"/>
      <c r="N21" s="106"/>
      <c r="O21" s="171"/>
      <c r="P21" s="171"/>
      <c r="Q21" s="171"/>
      <c r="R21" s="171"/>
      <c r="S21" s="171">
        <v>4252198</v>
      </c>
      <c r="T21" s="171"/>
      <c r="U21" s="171"/>
      <c r="V21" s="171"/>
      <c r="W21" s="171"/>
      <c r="X21" s="171"/>
      <c r="Y21" s="107"/>
      <c r="Z21" s="107"/>
      <c r="AA21" s="107"/>
      <c r="AB21" s="107"/>
      <c r="AC21" s="107"/>
      <c r="AD21" s="107"/>
      <c r="AE21" s="107"/>
      <c r="AF21" s="107"/>
      <c r="AG21" s="107"/>
      <c r="AH21" s="107"/>
      <c r="AI21" s="111"/>
      <c r="AJ21" s="111"/>
      <c r="AK21" s="111"/>
      <c r="AL21" s="111"/>
    </row>
    <row r="22" spans="1:48" s="108" customFormat="1" ht="13.5" x14ac:dyDescent="0.25">
      <c r="A22" s="105" t="s">
        <v>106</v>
      </c>
      <c r="B22" s="106" t="s">
        <v>90</v>
      </c>
      <c r="C22" s="106" t="s">
        <v>105</v>
      </c>
      <c r="D22" s="106" t="s">
        <v>49</v>
      </c>
      <c r="E22" s="106" t="s">
        <v>102</v>
      </c>
      <c r="F22" s="106" t="s">
        <v>106</v>
      </c>
      <c r="G22" s="106"/>
      <c r="H22" s="106" t="s">
        <v>124</v>
      </c>
      <c r="I22" s="106">
        <v>-1250000</v>
      </c>
      <c r="J22" s="106"/>
      <c r="K22" s="106"/>
      <c r="L22" s="106"/>
      <c r="M22" s="106"/>
      <c r="N22" s="106"/>
      <c r="O22" s="171">
        <v>-1250000</v>
      </c>
      <c r="P22" s="171"/>
      <c r="Q22" s="171"/>
      <c r="R22" s="171"/>
      <c r="S22" s="171"/>
      <c r="T22" s="171"/>
      <c r="U22" s="171"/>
      <c r="V22" s="171"/>
      <c r="W22" s="171"/>
      <c r="X22" s="171"/>
      <c r="Y22" s="107"/>
      <c r="Z22" s="107"/>
      <c r="AA22" s="107"/>
      <c r="AB22" s="107"/>
      <c r="AC22" s="107"/>
      <c r="AD22" s="107"/>
      <c r="AE22" s="107"/>
      <c r="AF22" s="107"/>
      <c r="AG22" s="107"/>
      <c r="AH22" s="107"/>
      <c r="AI22" s="111"/>
      <c r="AJ22" s="111"/>
      <c r="AK22" s="111"/>
      <c r="AL22" s="111"/>
    </row>
    <row r="23" spans="1:48" s="108" customFormat="1" ht="13.5" x14ac:dyDescent="0.25">
      <c r="A23" s="105" t="s">
        <v>125</v>
      </c>
      <c r="B23" s="106" t="s">
        <v>90</v>
      </c>
      <c r="C23" s="106" t="s">
        <v>157</v>
      </c>
      <c r="D23" s="106" t="s">
        <v>49</v>
      </c>
      <c r="E23" s="106" t="s">
        <v>102</v>
      </c>
      <c r="F23" s="106"/>
      <c r="G23" s="106"/>
      <c r="H23" s="106" t="s">
        <v>158</v>
      </c>
      <c r="I23" s="106">
        <v>-49157</v>
      </c>
      <c r="J23" s="106"/>
      <c r="K23" s="106"/>
      <c r="L23" s="106"/>
      <c r="M23" s="106">
        <v>-49157</v>
      </c>
      <c r="N23" s="106"/>
      <c r="O23" s="171"/>
      <c r="P23" s="171"/>
      <c r="Q23" s="171"/>
      <c r="R23" s="171"/>
      <c r="S23" s="171"/>
      <c r="T23" s="171"/>
      <c r="U23" s="171"/>
      <c r="V23" s="171"/>
      <c r="W23" s="171"/>
      <c r="X23" s="171"/>
      <c r="Y23" s="107"/>
      <c r="Z23" s="107"/>
      <c r="AA23" s="107"/>
      <c r="AB23" s="107"/>
      <c r="AC23" s="107"/>
      <c r="AD23" s="107"/>
      <c r="AE23" s="107"/>
      <c r="AF23" s="107"/>
      <c r="AG23" s="107"/>
      <c r="AH23" s="107"/>
      <c r="AI23" s="111"/>
      <c r="AJ23" s="111"/>
      <c r="AK23" s="111"/>
      <c r="AL23" s="111"/>
    </row>
    <row r="24" spans="1:48" s="108" customFormat="1" ht="13.5" x14ac:dyDescent="0.25">
      <c r="A24" s="105" t="s">
        <v>125</v>
      </c>
      <c r="B24" s="106" t="s">
        <v>90</v>
      </c>
      <c r="C24" s="106" t="s">
        <v>108</v>
      </c>
      <c r="D24" s="106" t="s">
        <v>109</v>
      </c>
      <c r="E24" s="106" t="s">
        <v>49</v>
      </c>
      <c r="F24" s="106" t="s">
        <v>125</v>
      </c>
      <c r="G24" s="106"/>
      <c r="H24" s="106" t="s">
        <v>126</v>
      </c>
      <c r="I24" s="106">
        <v>-1015069</v>
      </c>
      <c r="J24" s="106"/>
      <c r="K24" s="106"/>
      <c r="L24" s="106"/>
      <c r="M24" s="106"/>
      <c r="N24" s="106"/>
      <c r="O24" s="171"/>
      <c r="P24" s="171"/>
      <c r="Q24" s="171"/>
      <c r="R24" s="171"/>
      <c r="S24" s="171">
        <v>-1015069</v>
      </c>
      <c r="T24" s="171"/>
      <c r="U24" s="171"/>
      <c r="V24" s="171"/>
      <c r="W24" s="171"/>
      <c r="X24" s="171"/>
      <c r="Y24" s="107"/>
      <c r="Z24" s="107"/>
      <c r="AA24" s="107"/>
      <c r="AB24" s="107"/>
      <c r="AC24" s="107"/>
      <c r="AD24" s="107"/>
      <c r="AE24" s="107"/>
      <c r="AF24" s="107"/>
      <c r="AG24" s="107"/>
      <c r="AH24" s="107"/>
      <c r="AI24" s="111"/>
      <c r="AJ24" s="111"/>
      <c r="AK24" s="111"/>
      <c r="AL24" s="111"/>
    </row>
    <row r="25" spans="1:48" s="108" customFormat="1" ht="13.5" x14ac:dyDescent="0.25">
      <c r="A25" s="105" t="s">
        <v>131</v>
      </c>
      <c r="B25" s="106" t="s">
        <v>103</v>
      </c>
      <c r="C25" s="106" t="s">
        <v>166</v>
      </c>
      <c r="D25" s="106" t="s">
        <v>167</v>
      </c>
      <c r="E25" s="106" t="s">
        <v>49</v>
      </c>
      <c r="F25" s="106" t="s">
        <v>132</v>
      </c>
      <c r="G25" s="106"/>
      <c r="H25" s="106" t="s">
        <v>168</v>
      </c>
      <c r="I25" s="106">
        <v>633480</v>
      </c>
      <c r="J25" s="106"/>
      <c r="K25" s="106"/>
      <c r="L25" s="106"/>
      <c r="M25" s="106"/>
      <c r="N25" s="106"/>
      <c r="O25" s="171"/>
      <c r="P25" s="171"/>
      <c r="Q25" s="171"/>
      <c r="R25" s="171"/>
      <c r="S25" s="171">
        <v>633480</v>
      </c>
      <c r="T25" s="171"/>
      <c r="U25" s="171"/>
      <c r="V25" s="171"/>
      <c r="W25" s="171"/>
      <c r="X25" s="171"/>
      <c r="Y25" s="107"/>
      <c r="Z25" s="107"/>
      <c r="AA25" s="107"/>
      <c r="AB25" s="107"/>
      <c r="AC25" s="107"/>
      <c r="AD25" s="107"/>
      <c r="AE25" s="107"/>
      <c r="AF25" s="107"/>
      <c r="AG25" s="107"/>
      <c r="AH25" s="107"/>
      <c r="AI25" s="111"/>
      <c r="AJ25" s="111"/>
      <c r="AK25" s="111"/>
      <c r="AL25" s="111"/>
    </row>
    <row r="26" spans="1:48" x14ac:dyDescent="0.25">
      <c r="A26" s="109" t="s">
        <v>131</v>
      </c>
      <c r="B26" s="110" t="s">
        <v>103</v>
      </c>
      <c r="C26" s="110" t="s">
        <v>169</v>
      </c>
      <c r="D26" s="110" t="s">
        <v>170</v>
      </c>
      <c r="E26" s="110" t="s">
        <v>49</v>
      </c>
      <c r="F26" s="110" t="s">
        <v>133</v>
      </c>
      <c r="G26" s="110"/>
      <c r="H26" s="110" t="s">
        <v>171</v>
      </c>
      <c r="I26" s="110">
        <v>473063</v>
      </c>
      <c r="J26" s="110"/>
      <c r="K26" s="110"/>
      <c r="L26" s="110"/>
      <c r="M26" s="110">
        <v>473063</v>
      </c>
      <c r="N26" s="110"/>
      <c r="O26" s="171"/>
      <c r="P26" s="171"/>
      <c r="Q26" s="171"/>
      <c r="R26" s="171"/>
      <c r="S26" s="171"/>
      <c r="T26" s="171"/>
      <c r="U26" s="171"/>
      <c r="V26" s="171"/>
      <c r="W26" s="171"/>
      <c r="X26" s="171"/>
      <c r="Y26" s="107"/>
      <c r="Z26" s="107"/>
      <c r="AA26" s="107"/>
      <c r="AB26" s="107"/>
      <c r="AC26" s="107"/>
      <c r="AD26" s="107"/>
      <c r="AE26" s="56"/>
      <c r="AF26" s="56"/>
      <c r="AG26" s="56"/>
      <c r="AH26" s="56"/>
      <c r="AI26" s="25"/>
      <c r="AJ26" s="25"/>
      <c r="AK26" s="25"/>
      <c r="AL26" s="25"/>
      <c r="AM26" s="9"/>
      <c r="AN26" s="9"/>
      <c r="AO26" s="9"/>
      <c r="AP26" s="9"/>
      <c r="AQ26" s="9"/>
      <c r="AR26" s="9"/>
      <c r="AS26" s="9"/>
      <c r="AT26" s="9"/>
      <c r="AU26" s="9"/>
      <c r="AV26" s="9"/>
    </row>
    <row r="27" spans="1:48" x14ac:dyDescent="0.25">
      <c r="A27" s="115" t="s">
        <v>131</v>
      </c>
      <c r="B27" s="116" t="s">
        <v>153</v>
      </c>
      <c r="C27" s="116" t="s">
        <v>213</v>
      </c>
      <c r="D27" s="116" t="s">
        <v>49</v>
      </c>
      <c r="E27" s="116" t="s">
        <v>102</v>
      </c>
      <c r="F27" s="116" t="s">
        <v>132</v>
      </c>
      <c r="G27" s="116" t="s">
        <v>214</v>
      </c>
      <c r="H27" s="116" t="s">
        <v>215</v>
      </c>
      <c r="I27" s="116">
        <v>-449400</v>
      </c>
      <c r="J27" s="116"/>
      <c r="K27" s="116"/>
      <c r="L27" s="116"/>
      <c r="M27" s="116">
        <v>-449400</v>
      </c>
      <c r="N27" s="116"/>
      <c r="O27" s="171"/>
      <c r="P27" s="171"/>
      <c r="Q27" s="171"/>
      <c r="R27" s="171"/>
      <c r="S27" s="171"/>
      <c r="T27" s="171"/>
      <c r="U27" s="171"/>
      <c r="V27" s="171"/>
      <c r="W27" s="171"/>
      <c r="X27" s="171"/>
      <c r="Y27" s="107"/>
      <c r="Z27" s="107"/>
      <c r="AA27" s="107"/>
      <c r="AB27" s="107"/>
      <c r="AC27" s="107"/>
      <c r="AD27" s="107"/>
      <c r="AE27" s="56"/>
      <c r="AF27" s="56"/>
      <c r="AG27" s="56"/>
      <c r="AH27" s="56"/>
      <c r="AI27" s="25"/>
      <c r="AJ27" s="25"/>
      <c r="AK27" s="25"/>
      <c r="AL27" s="25"/>
      <c r="AM27" s="9"/>
      <c r="AN27" s="9"/>
      <c r="AO27" s="9"/>
      <c r="AP27" s="9"/>
      <c r="AQ27" s="9"/>
      <c r="AR27" s="9"/>
      <c r="AS27" s="9"/>
      <c r="AT27" s="9"/>
      <c r="AU27" s="9"/>
      <c r="AV27" s="9"/>
    </row>
    <row r="28" spans="1:48" x14ac:dyDescent="0.25">
      <c r="A28" s="117" t="s">
        <v>131</v>
      </c>
      <c r="B28" s="118" t="s">
        <v>153</v>
      </c>
      <c r="C28" s="118" t="s">
        <v>213</v>
      </c>
      <c r="D28" s="118" t="s">
        <v>49</v>
      </c>
      <c r="E28" s="118" t="s">
        <v>102</v>
      </c>
      <c r="F28" s="118" t="s">
        <v>133</v>
      </c>
      <c r="G28" s="118" t="s">
        <v>216</v>
      </c>
      <c r="H28" s="118" t="s">
        <v>215</v>
      </c>
      <c r="I28" s="118">
        <v>-324440</v>
      </c>
      <c r="J28" s="118"/>
      <c r="K28" s="118"/>
      <c r="L28" s="118"/>
      <c r="M28" s="118">
        <v>-324440</v>
      </c>
      <c r="N28" s="118"/>
      <c r="O28" s="171"/>
      <c r="P28" s="171"/>
      <c r="Q28" s="171"/>
      <c r="R28" s="171"/>
      <c r="S28" s="171"/>
      <c r="T28" s="171"/>
      <c r="U28" s="171"/>
      <c r="V28" s="171"/>
      <c r="W28" s="171"/>
      <c r="X28" s="171"/>
      <c r="Y28" s="107"/>
      <c r="Z28" s="107"/>
      <c r="AA28" s="107"/>
      <c r="AB28" s="107"/>
      <c r="AC28" s="107"/>
      <c r="AD28" s="107"/>
      <c r="AE28" s="56"/>
      <c r="AF28" s="56"/>
      <c r="AG28" s="56"/>
      <c r="AH28" s="56"/>
      <c r="AM28" s="9"/>
      <c r="AN28" s="9"/>
      <c r="AO28" s="9"/>
      <c r="AP28" s="9"/>
      <c r="AQ28" s="9"/>
      <c r="AR28" s="9"/>
      <c r="AS28" s="9"/>
      <c r="AT28" s="9"/>
      <c r="AU28" s="9"/>
      <c r="AV28" s="9"/>
    </row>
    <row r="29" spans="1:48" x14ac:dyDescent="0.25">
      <c r="A29" s="134" t="s">
        <v>131</v>
      </c>
      <c r="B29" s="136" t="s">
        <v>90</v>
      </c>
      <c r="C29" s="136" t="s">
        <v>127</v>
      </c>
      <c r="D29" s="136" t="s">
        <v>49</v>
      </c>
      <c r="E29" s="136" t="s">
        <v>128</v>
      </c>
      <c r="F29" s="136" t="s">
        <v>131</v>
      </c>
      <c r="G29" s="136"/>
      <c r="H29" s="136" t="s">
        <v>130</v>
      </c>
      <c r="I29" s="136">
        <v>-1200000</v>
      </c>
      <c r="J29" s="136"/>
      <c r="K29" s="136"/>
      <c r="L29" s="136"/>
      <c r="M29" s="136"/>
      <c r="N29" s="136"/>
      <c r="O29" s="171"/>
      <c r="P29" s="171"/>
      <c r="Q29" s="171"/>
      <c r="R29" s="171"/>
      <c r="S29" s="171">
        <v>-1200000</v>
      </c>
      <c r="T29" s="171"/>
      <c r="U29" s="171"/>
      <c r="V29" s="171"/>
      <c r="W29" s="171"/>
      <c r="X29" s="171"/>
      <c r="Y29" s="107"/>
      <c r="Z29" s="107"/>
      <c r="AA29" s="107"/>
      <c r="AB29" s="107"/>
      <c r="AC29" s="107"/>
      <c r="AD29" s="107"/>
      <c r="AE29" s="56"/>
      <c r="AF29" s="56"/>
      <c r="AG29" s="56"/>
      <c r="AH29" s="56"/>
      <c r="AM29" s="9"/>
      <c r="AN29" s="9"/>
      <c r="AO29" s="9"/>
      <c r="AP29" s="9"/>
      <c r="AQ29" s="9"/>
      <c r="AR29" s="9"/>
      <c r="AS29" s="9"/>
      <c r="AT29" s="9"/>
      <c r="AU29" s="9"/>
      <c r="AV29" s="9"/>
    </row>
    <row r="30" spans="1:48" x14ac:dyDescent="0.25">
      <c r="A30" s="135" t="s">
        <v>131</v>
      </c>
      <c r="B30" s="137" t="s">
        <v>172</v>
      </c>
      <c r="C30" s="137" t="s">
        <v>173</v>
      </c>
      <c r="D30" s="137" t="s">
        <v>49</v>
      </c>
      <c r="E30" s="137" t="s">
        <v>102</v>
      </c>
      <c r="F30" s="137" t="s">
        <v>113</v>
      </c>
      <c r="G30" s="137" t="s">
        <v>174</v>
      </c>
      <c r="H30" s="137" t="s">
        <v>175</v>
      </c>
      <c r="I30" s="137">
        <v>-80000000</v>
      </c>
      <c r="J30" s="137"/>
      <c r="K30" s="137"/>
      <c r="L30" s="137"/>
      <c r="M30" s="137"/>
      <c r="N30" s="137"/>
      <c r="O30" s="171"/>
      <c r="P30" s="171"/>
      <c r="Q30" s="171"/>
      <c r="R30" s="171">
        <v>-80000000</v>
      </c>
      <c r="S30" s="171"/>
      <c r="T30" s="171"/>
      <c r="U30" s="171"/>
      <c r="V30" s="171"/>
      <c r="W30" s="171"/>
      <c r="X30" s="171"/>
      <c r="Y30" s="107"/>
      <c r="Z30" s="107"/>
      <c r="AA30" s="107"/>
      <c r="AB30" s="107"/>
      <c r="AC30" s="107"/>
      <c r="AD30" s="107"/>
      <c r="AE30" s="56"/>
      <c r="AF30" s="56"/>
      <c r="AG30" s="56"/>
      <c r="AH30" s="56"/>
      <c r="AM30" s="9"/>
      <c r="AN30" s="9"/>
      <c r="AO30" s="9"/>
      <c r="AP30" s="9"/>
      <c r="AQ30" s="9"/>
      <c r="AR30" s="9"/>
      <c r="AS30" s="9"/>
      <c r="AT30" s="9"/>
      <c r="AU30" s="9"/>
      <c r="AV30" s="9"/>
    </row>
    <row r="31" spans="1:48" x14ac:dyDescent="0.25">
      <c r="A31" s="141" t="s">
        <v>132</v>
      </c>
      <c r="B31" s="143" t="s">
        <v>103</v>
      </c>
      <c r="C31" s="143" t="s">
        <v>205</v>
      </c>
      <c r="D31" s="143" t="s">
        <v>167</v>
      </c>
      <c r="E31" s="143" t="s">
        <v>49</v>
      </c>
      <c r="F31" s="143" t="s">
        <v>219</v>
      </c>
      <c r="G31" s="143"/>
      <c r="H31" s="143" t="s">
        <v>168</v>
      </c>
      <c r="I31" s="143">
        <v>196124</v>
      </c>
      <c r="J31" s="143"/>
      <c r="K31" s="143"/>
      <c r="L31" s="143"/>
      <c r="M31" s="143"/>
      <c r="N31" s="143"/>
      <c r="O31" s="171"/>
      <c r="P31" s="171"/>
      <c r="Q31" s="171"/>
      <c r="R31" s="171"/>
      <c r="S31" s="171">
        <v>196124</v>
      </c>
      <c r="T31" s="171"/>
      <c r="U31" s="171"/>
      <c r="V31" s="171"/>
      <c r="W31" s="171"/>
      <c r="X31" s="171"/>
      <c r="Y31" s="107"/>
      <c r="Z31" s="107"/>
      <c r="AA31" s="107"/>
      <c r="AB31" s="107"/>
      <c r="AC31" s="107"/>
      <c r="AD31" s="107"/>
      <c r="AE31" s="56"/>
      <c r="AF31" s="56"/>
      <c r="AG31" s="56"/>
      <c r="AH31" s="56"/>
      <c r="AM31" s="9"/>
      <c r="AN31" s="9"/>
      <c r="AO31" s="9"/>
      <c r="AP31" s="9"/>
      <c r="AQ31" s="9"/>
      <c r="AR31" s="9"/>
      <c r="AS31" s="9"/>
      <c r="AT31" s="9"/>
      <c r="AU31" s="9"/>
      <c r="AV31" s="9"/>
    </row>
    <row r="32" spans="1:48" x14ac:dyDescent="0.25">
      <c r="A32" s="142" t="s">
        <v>132</v>
      </c>
      <c r="B32" s="144" t="s">
        <v>103</v>
      </c>
      <c r="C32" s="144" t="s">
        <v>206</v>
      </c>
      <c r="D32" s="144" t="s">
        <v>170</v>
      </c>
      <c r="E32" s="144" t="s">
        <v>49</v>
      </c>
      <c r="F32" s="144" t="s">
        <v>134</v>
      </c>
      <c r="G32" s="144"/>
      <c r="H32" s="144" t="s">
        <v>207</v>
      </c>
      <c r="I32" s="144">
        <v>1212842</v>
      </c>
      <c r="J32" s="144"/>
      <c r="K32" s="144"/>
      <c r="L32" s="144"/>
      <c r="M32" s="144"/>
      <c r="N32" s="144"/>
      <c r="O32" s="171"/>
      <c r="P32" s="171"/>
      <c r="Q32" s="171"/>
      <c r="R32" s="171"/>
      <c r="S32" s="171">
        <v>1212842</v>
      </c>
      <c r="T32" s="171"/>
      <c r="U32" s="171"/>
      <c r="V32" s="171"/>
      <c r="W32" s="171"/>
      <c r="X32" s="171"/>
      <c r="Y32" s="107"/>
      <c r="Z32" s="107"/>
      <c r="AA32" s="107"/>
      <c r="AB32" s="107"/>
      <c r="AC32" s="107"/>
      <c r="AD32" s="107"/>
      <c r="AE32" s="56"/>
      <c r="AF32" s="56"/>
      <c r="AG32" s="56"/>
      <c r="AH32" s="56"/>
      <c r="AM32" s="9"/>
      <c r="AN32" s="9"/>
      <c r="AO32" s="9"/>
      <c r="AP32" s="9"/>
      <c r="AQ32" s="9"/>
      <c r="AR32" s="9"/>
      <c r="AS32" s="9"/>
      <c r="AT32" s="9"/>
      <c r="AU32" s="9"/>
      <c r="AV32" s="9"/>
    </row>
    <row r="33" spans="1:48" x14ac:dyDescent="0.25">
      <c r="A33" s="109" t="s">
        <v>132</v>
      </c>
      <c r="B33" s="110" t="s">
        <v>103</v>
      </c>
      <c r="C33" s="110" t="s">
        <v>208</v>
      </c>
      <c r="D33" s="110" t="s">
        <v>170</v>
      </c>
      <c r="E33" s="110" t="s">
        <v>49</v>
      </c>
      <c r="F33" s="110" t="s">
        <v>134</v>
      </c>
      <c r="G33" s="110"/>
      <c r="H33" s="110" t="s">
        <v>209</v>
      </c>
      <c r="I33" s="110">
        <v>560000</v>
      </c>
      <c r="J33" s="110"/>
      <c r="K33" s="110"/>
      <c r="L33" s="110"/>
      <c r="M33" s="110">
        <v>560000</v>
      </c>
      <c r="N33" s="110"/>
      <c r="O33" s="171"/>
      <c r="P33" s="171"/>
      <c r="Q33" s="171"/>
      <c r="R33" s="171"/>
      <c r="S33" s="171"/>
      <c r="T33" s="171"/>
      <c r="U33" s="171"/>
      <c r="V33" s="171"/>
      <c r="W33" s="171"/>
      <c r="X33" s="171"/>
      <c r="Y33" s="107"/>
      <c r="Z33" s="107"/>
      <c r="AA33" s="107"/>
      <c r="AB33" s="107"/>
      <c r="AC33" s="107"/>
      <c r="AD33" s="107"/>
      <c r="AE33" s="56"/>
      <c r="AF33" s="56"/>
      <c r="AG33" s="56"/>
      <c r="AH33" s="56"/>
      <c r="AM33" s="9"/>
      <c r="AN33" s="9"/>
      <c r="AO33" s="9"/>
      <c r="AP33" s="9"/>
      <c r="AQ33" s="9"/>
      <c r="AR33" s="9"/>
      <c r="AS33" s="9"/>
      <c r="AT33" s="9"/>
      <c r="AU33" s="9"/>
      <c r="AV33" s="9"/>
    </row>
    <row r="34" spans="1:48" x14ac:dyDescent="0.25">
      <c r="A34" s="151" t="s">
        <v>132</v>
      </c>
      <c r="B34" s="153" t="s">
        <v>156</v>
      </c>
      <c r="C34" s="153" t="s">
        <v>213</v>
      </c>
      <c r="D34" s="153" t="s">
        <v>102</v>
      </c>
      <c r="E34" s="153" t="s">
        <v>49</v>
      </c>
      <c r="F34" s="153" t="s">
        <v>132</v>
      </c>
      <c r="G34" s="153" t="s">
        <v>214</v>
      </c>
      <c r="H34" s="153" t="s">
        <v>215</v>
      </c>
      <c r="I34" s="153">
        <v>449400</v>
      </c>
      <c r="J34" s="153"/>
      <c r="K34" s="153"/>
      <c r="L34" s="153"/>
      <c r="M34" s="153">
        <v>449400</v>
      </c>
      <c r="N34" s="153"/>
      <c r="O34" s="171"/>
      <c r="P34" s="171"/>
      <c r="Q34" s="171"/>
      <c r="R34" s="171"/>
      <c r="S34" s="171"/>
      <c r="T34" s="171"/>
      <c r="U34" s="171"/>
      <c r="V34" s="171"/>
      <c r="W34" s="171"/>
      <c r="X34" s="171"/>
      <c r="Y34" s="107"/>
      <c r="Z34" s="107"/>
      <c r="AA34" s="107"/>
      <c r="AB34" s="107"/>
      <c r="AC34" s="107"/>
      <c r="AD34" s="107"/>
      <c r="AE34" s="56"/>
      <c r="AF34" s="56"/>
      <c r="AG34" s="56"/>
      <c r="AH34" s="56"/>
      <c r="AM34" s="9"/>
      <c r="AN34" s="9"/>
      <c r="AO34" s="9"/>
      <c r="AP34" s="9"/>
      <c r="AQ34" s="9"/>
      <c r="AR34" s="9"/>
      <c r="AS34" s="9"/>
      <c r="AT34" s="9"/>
      <c r="AU34" s="9"/>
      <c r="AV34" s="9"/>
    </row>
    <row r="35" spans="1:48" x14ac:dyDescent="0.25">
      <c r="A35" s="152" t="s">
        <v>132</v>
      </c>
      <c r="B35" s="154" t="s">
        <v>90</v>
      </c>
      <c r="C35" s="154" t="s">
        <v>127</v>
      </c>
      <c r="D35" s="154" t="s">
        <v>49</v>
      </c>
      <c r="E35" s="154" t="s">
        <v>128</v>
      </c>
      <c r="F35" s="154" t="s">
        <v>132</v>
      </c>
      <c r="G35" s="154"/>
      <c r="H35" s="154" t="s">
        <v>130</v>
      </c>
      <c r="I35" s="154">
        <v>-2000000</v>
      </c>
      <c r="J35" s="154"/>
      <c r="K35" s="154"/>
      <c r="L35" s="154"/>
      <c r="M35" s="154"/>
      <c r="N35" s="154"/>
      <c r="O35" s="171"/>
      <c r="P35" s="171"/>
      <c r="Q35" s="171"/>
      <c r="R35" s="171"/>
      <c r="S35" s="171">
        <v>-2000000</v>
      </c>
      <c r="T35" s="171"/>
      <c r="U35" s="171"/>
      <c r="V35" s="171"/>
      <c r="W35" s="171"/>
      <c r="X35" s="171"/>
      <c r="Y35" s="107"/>
      <c r="Z35" s="107"/>
      <c r="AA35" s="107"/>
      <c r="AB35" s="107"/>
      <c r="AC35" s="107"/>
      <c r="AD35" s="107"/>
      <c r="AE35" s="56"/>
      <c r="AF35" s="56"/>
      <c r="AG35" s="56"/>
      <c r="AH35" s="56"/>
      <c r="AM35" s="9"/>
      <c r="AN35" s="9"/>
      <c r="AO35" s="9"/>
      <c r="AP35" s="9"/>
      <c r="AQ35" s="9"/>
      <c r="AR35" s="9"/>
      <c r="AS35" s="9"/>
      <c r="AT35" s="9"/>
      <c r="AU35" s="9"/>
      <c r="AV35" s="9"/>
    </row>
    <row r="36" spans="1:48" x14ac:dyDescent="0.25">
      <c r="A36" s="152" t="s">
        <v>132</v>
      </c>
      <c r="B36" s="154" t="s">
        <v>90</v>
      </c>
      <c r="C36" s="154" t="s">
        <v>166</v>
      </c>
      <c r="D36" s="154" t="s">
        <v>49</v>
      </c>
      <c r="E36" s="154" t="s">
        <v>167</v>
      </c>
      <c r="F36" s="154" t="s">
        <v>132</v>
      </c>
      <c r="G36" s="154"/>
      <c r="H36" s="154" t="s">
        <v>168</v>
      </c>
      <c r="I36" s="154">
        <v>-633480</v>
      </c>
      <c r="J36" s="154"/>
      <c r="K36" s="154"/>
      <c r="L36" s="154"/>
      <c r="M36" s="154"/>
      <c r="N36" s="154"/>
      <c r="O36" s="171"/>
      <c r="P36" s="171"/>
      <c r="Q36" s="171"/>
      <c r="R36" s="171"/>
      <c r="S36" s="171">
        <v>-633480</v>
      </c>
      <c r="T36" s="171"/>
      <c r="U36" s="171"/>
      <c r="V36" s="171"/>
      <c r="W36" s="171"/>
      <c r="X36" s="171"/>
      <c r="Y36" s="107"/>
      <c r="Z36" s="107"/>
      <c r="AA36" s="107"/>
      <c r="AB36" s="107"/>
      <c r="AC36" s="107"/>
      <c r="AD36" s="107"/>
      <c r="AE36" s="56"/>
      <c r="AF36" s="56"/>
      <c r="AG36" s="56"/>
      <c r="AH36" s="56"/>
      <c r="AM36" s="9"/>
      <c r="AN36" s="9"/>
      <c r="AO36" s="9"/>
      <c r="AP36" s="9"/>
      <c r="AQ36" s="9"/>
      <c r="AR36" s="9"/>
      <c r="AS36" s="9"/>
      <c r="AT36" s="9"/>
      <c r="AU36" s="9"/>
      <c r="AV36" s="9"/>
    </row>
    <row r="37" spans="1:48" x14ac:dyDescent="0.25">
      <c r="A37" s="152" t="s">
        <v>132</v>
      </c>
      <c r="B37" s="154" t="s">
        <v>172</v>
      </c>
      <c r="C37" s="154" t="s">
        <v>210</v>
      </c>
      <c r="D37" s="154" t="s">
        <v>49</v>
      </c>
      <c r="E37" s="154" t="s">
        <v>167</v>
      </c>
      <c r="F37" s="154" t="s">
        <v>113</v>
      </c>
      <c r="G37" s="154" t="s">
        <v>211</v>
      </c>
      <c r="H37" s="154" t="s">
        <v>212</v>
      </c>
      <c r="I37" s="154">
        <v>-105000</v>
      </c>
      <c r="J37" s="154"/>
      <c r="K37" s="154"/>
      <c r="L37" s="154"/>
      <c r="M37" s="154">
        <v>-105000</v>
      </c>
      <c r="N37" s="154"/>
      <c r="O37" s="171"/>
      <c r="P37" s="171"/>
      <c r="Q37" s="171"/>
      <c r="R37" s="171"/>
      <c r="S37" s="171"/>
      <c r="T37" s="171"/>
      <c r="U37" s="171"/>
      <c r="V37" s="171"/>
      <c r="W37" s="171"/>
      <c r="X37" s="171"/>
      <c r="Y37" s="107"/>
      <c r="Z37" s="107"/>
      <c r="AA37" s="107"/>
      <c r="AB37" s="107"/>
      <c r="AC37" s="107"/>
      <c r="AD37" s="107"/>
      <c r="AE37" s="56"/>
      <c r="AF37" s="56"/>
      <c r="AG37" s="56"/>
      <c r="AH37" s="56"/>
      <c r="AM37" s="9"/>
      <c r="AN37" s="9"/>
      <c r="AO37" s="9"/>
      <c r="AP37" s="9"/>
      <c r="AQ37" s="9"/>
      <c r="AR37" s="9"/>
      <c r="AS37" s="9"/>
      <c r="AT37" s="9"/>
      <c r="AU37" s="9"/>
      <c r="AV37" s="9"/>
    </row>
    <row r="38" spans="1:48" x14ac:dyDescent="0.25">
      <c r="A38" s="152" t="s">
        <v>133</v>
      </c>
      <c r="B38" s="154" t="s">
        <v>103</v>
      </c>
      <c r="C38" s="154" t="s">
        <v>270</v>
      </c>
      <c r="D38" s="154" t="s">
        <v>170</v>
      </c>
      <c r="E38" s="154" t="s">
        <v>49</v>
      </c>
      <c r="F38" s="154" t="s">
        <v>134</v>
      </c>
      <c r="G38" s="154"/>
      <c r="H38" s="154" t="s">
        <v>207</v>
      </c>
      <c r="I38" s="154">
        <v>486888</v>
      </c>
      <c r="J38" s="154"/>
      <c r="K38" s="154"/>
      <c r="L38" s="154"/>
      <c r="M38" s="154"/>
      <c r="N38" s="154"/>
      <c r="O38" s="171"/>
      <c r="P38" s="171"/>
      <c r="Q38" s="171"/>
      <c r="R38" s="171"/>
      <c r="S38" s="171">
        <v>486888</v>
      </c>
      <c r="T38" s="171"/>
      <c r="U38" s="171"/>
      <c r="V38" s="171"/>
      <c r="W38" s="171"/>
      <c r="X38" s="171"/>
      <c r="Y38" s="107"/>
      <c r="Z38" s="107"/>
      <c r="AA38" s="107"/>
      <c r="AB38" s="107"/>
      <c r="AC38" s="107"/>
      <c r="AD38" s="107"/>
      <c r="AE38" s="56"/>
      <c r="AF38" s="56"/>
      <c r="AG38" s="56"/>
      <c r="AH38" s="56"/>
      <c r="AM38" s="9"/>
      <c r="AN38" s="9"/>
      <c r="AO38" s="9"/>
      <c r="AP38" s="9"/>
      <c r="AQ38" s="9"/>
      <c r="AR38" s="9"/>
      <c r="AS38" s="9"/>
      <c r="AT38" s="9"/>
      <c r="AU38" s="9"/>
      <c r="AV38" s="9"/>
    </row>
    <row r="39" spans="1:48" x14ac:dyDescent="0.25">
      <c r="A39" s="152" t="s">
        <v>133</v>
      </c>
      <c r="B39" s="154" t="s">
        <v>156</v>
      </c>
      <c r="C39" s="154" t="s">
        <v>213</v>
      </c>
      <c r="D39" s="154" t="s">
        <v>102</v>
      </c>
      <c r="E39" s="154" t="s">
        <v>49</v>
      </c>
      <c r="F39" s="154" t="s">
        <v>133</v>
      </c>
      <c r="G39" s="154" t="s">
        <v>216</v>
      </c>
      <c r="H39" s="154" t="s">
        <v>215</v>
      </c>
      <c r="I39" s="154">
        <v>324440</v>
      </c>
      <c r="J39" s="154"/>
      <c r="K39" s="154"/>
      <c r="L39" s="154"/>
      <c r="M39" s="154">
        <v>324440</v>
      </c>
      <c r="N39" s="154"/>
      <c r="O39" s="171"/>
      <c r="P39" s="171"/>
      <c r="Q39" s="171"/>
      <c r="R39" s="171"/>
      <c r="S39" s="171"/>
      <c r="T39" s="171"/>
      <c r="U39" s="171"/>
      <c r="V39" s="171"/>
      <c r="W39" s="171"/>
      <c r="X39" s="171"/>
      <c r="Y39" s="107"/>
      <c r="Z39" s="107"/>
      <c r="AA39" s="107"/>
      <c r="AB39" s="107"/>
      <c r="AC39" s="107"/>
      <c r="AD39" s="107"/>
      <c r="AE39" s="56"/>
      <c r="AF39" s="56"/>
      <c r="AG39" s="56"/>
      <c r="AH39" s="56"/>
      <c r="AM39" s="9"/>
      <c r="AN39" s="9"/>
      <c r="AO39" s="9"/>
      <c r="AP39" s="9"/>
      <c r="AQ39" s="9"/>
      <c r="AR39" s="9"/>
      <c r="AS39" s="9"/>
      <c r="AT39" s="9"/>
      <c r="AU39" s="9"/>
      <c r="AV39" s="9"/>
    </row>
    <row r="40" spans="1:48" x14ac:dyDescent="0.25">
      <c r="A40" s="152" t="s">
        <v>133</v>
      </c>
      <c r="B40" s="154" t="s">
        <v>90</v>
      </c>
      <c r="C40" s="154" t="s">
        <v>127</v>
      </c>
      <c r="D40" s="154" t="s">
        <v>49</v>
      </c>
      <c r="E40" s="154" t="s">
        <v>128</v>
      </c>
      <c r="F40" s="154" t="s">
        <v>133</v>
      </c>
      <c r="G40" s="154"/>
      <c r="H40" s="154" t="s">
        <v>130</v>
      </c>
      <c r="I40" s="154">
        <v>-480698</v>
      </c>
      <c r="J40" s="154"/>
      <c r="K40" s="154"/>
      <c r="L40" s="154"/>
      <c r="M40" s="154"/>
      <c r="N40" s="154"/>
      <c r="O40" s="171"/>
      <c r="P40" s="171"/>
      <c r="Q40" s="171"/>
      <c r="R40" s="171"/>
      <c r="S40" s="171">
        <v>-480698</v>
      </c>
      <c r="T40" s="171"/>
      <c r="U40" s="171"/>
      <c r="V40" s="171"/>
      <c r="W40" s="171"/>
      <c r="X40" s="171"/>
      <c r="Y40" s="107"/>
      <c r="Z40" s="107"/>
      <c r="AA40" s="107"/>
      <c r="AB40" s="107"/>
      <c r="AC40" s="107"/>
      <c r="AD40" s="107"/>
      <c r="AE40" s="56"/>
      <c r="AF40" s="56"/>
      <c r="AG40" s="56"/>
      <c r="AH40" s="56"/>
      <c r="AM40" s="9"/>
      <c r="AN40" s="9"/>
      <c r="AO40" s="9"/>
      <c r="AP40" s="9"/>
      <c r="AQ40" s="9"/>
      <c r="AR40" s="9"/>
      <c r="AS40" s="9"/>
      <c r="AT40" s="9"/>
      <c r="AU40" s="9"/>
      <c r="AV40" s="9"/>
    </row>
    <row r="41" spans="1:48" x14ac:dyDescent="0.25">
      <c r="A41" s="152" t="s">
        <v>133</v>
      </c>
      <c r="B41" s="154" t="s">
        <v>90</v>
      </c>
      <c r="C41" s="154" t="s">
        <v>205</v>
      </c>
      <c r="D41" s="154" t="s">
        <v>49</v>
      </c>
      <c r="E41" s="154" t="s">
        <v>167</v>
      </c>
      <c r="F41" s="154" t="s">
        <v>133</v>
      </c>
      <c r="G41" s="154"/>
      <c r="H41" s="154" t="s">
        <v>168</v>
      </c>
      <c r="I41" s="154">
        <v>-25000</v>
      </c>
      <c r="J41" s="154"/>
      <c r="K41" s="154"/>
      <c r="L41" s="154"/>
      <c r="M41" s="154"/>
      <c r="N41" s="154"/>
      <c r="O41" s="171"/>
      <c r="P41" s="171"/>
      <c r="Q41" s="171"/>
      <c r="R41" s="171"/>
      <c r="S41" s="171">
        <v>-25000</v>
      </c>
      <c r="T41" s="171"/>
      <c r="U41" s="171"/>
      <c r="V41" s="171"/>
      <c r="W41" s="171"/>
      <c r="X41" s="171"/>
      <c r="Y41" s="107"/>
      <c r="Z41" s="107"/>
      <c r="AA41" s="107"/>
      <c r="AB41" s="107"/>
      <c r="AC41" s="107"/>
      <c r="AD41" s="107"/>
      <c r="AE41" s="56"/>
      <c r="AF41" s="56"/>
      <c r="AG41" s="56"/>
      <c r="AH41" s="56"/>
      <c r="AM41" s="9"/>
      <c r="AN41" s="9"/>
      <c r="AO41" s="9"/>
      <c r="AP41" s="9"/>
      <c r="AQ41" s="9"/>
      <c r="AR41" s="9"/>
      <c r="AS41" s="9"/>
      <c r="AT41" s="9"/>
      <c r="AU41" s="9"/>
      <c r="AV41" s="9"/>
    </row>
    <row r="42" spans="1:48" x14ac:dyDescent="0.25">
      <c r="A42" s="152" t="s">
        <v>133</v>
      </c>
      <c r="B42" s="154" t="s">
        <v>90</v>
      </c>
      <c r="C42" s="154" t="s">
        <v>169</v>
      </c>
      <c r="D42" s="154" t="s">
        <v>49</v>
      </c>
      <c r="E42" s="154" t="s">
        <v>170</v>
      </c>
      <c r="F42" s="154" t="s">
        <v>133</v>
      </c>
      <c r="G42" s="154"/>
      <c r="H42" s="154" t="s">
        <v>171</v>
      </c>
      <c r="I42" s="154">
        <v>-473063</v>
      </c>
      <c r="J42" s="154"/>
      <c r="K42" s="154"/>
      <c r="L42" s="154"/>
      <c r="M42" s="154"/>
      <c r="N42" s="154"/>
      <c r="O42" s="171"/>
      <c r="P42" s="171"/>
      <c r="Q42" s="171"/>
      <c r="R42" s="171"/>
      <c r="S42" s="171">
        <v>-473063</v>
      </c>
      <c r="T42" s="171"/>
      <c r="U42" s="171"/>
      <c r="V42" s="171"/>
      <c r="W42" s="171"/>
      <c r="X42" s="171"/>
      <c r="Y42" s="107"/>
      <c r="Z42" s="107"/>
      <c r="AA42" s="107"/>
      <c r="AB42" s="107"/>
      <c r="AC42" s="107"/>
      <c r="AD42" s="107"/>
      <c r="AE42" s="56"/>
      <c r="AF42" s="56"/>
      <c r="AG42" s="56"/>
      <c r="AH42" s="56"/>
      <c r="AM42" s="9"/>
      <c r="AN42" s="9"/>
      <c r="AO42" s="9"/>
      <c r="AP42" s="9"/>
      <c r="AQ42" s="9"/>
      <c r="AR42" s="9"/>
      <c r="AS42" s="9"/>
      <c r="AT42" s="9"/>
      <c r="AU42" s="9"/>
      <c r="AV42" s="9"/>
    </row>
    <row r="43" spans="1:48" x14ac:dyDescent="0.25">
      <c r="A43" s="152" t="s">
        <v>133</v>
      </c>
      <c r="B43" s="154" t="s">
        <v>91</v>
      </c>
      <c r="C43" s="154" t="s">
        <v>226</v>
      </c>
      <c r="D43" s="154" t="s">
        <v>112</v>
      </c>
      <c r="E43" s="154" t="s">
        <v>49</v>
      </c>
      <c r="F43" s="154" t="s">
        <v>134</v>
      </c>
      <c r="G43" s="154"/>
      <c r="H43" s="154" t="s">
        <v>227</v>
      </c>
      <c r="I43" s="154">
        <v>776983</v>
      </c>
      <c r="J43" s="154"/>
      <c r="K43" s="154"/>
      <c r="L43" s="154"/>
      <c r="M43" s="154">
        <v>776983</v>
      </c>
      <c r="N43" s="154"/>
      <c r="O43" s="171"/>
      <c r="P43" s="171"/>
      <c r="Q43" s="171"/>
      <c r="R43" s="171"/>
      <c r="S43" s="171"/>
      <c r="T43" s="171"/>
      <c r="U43" s="171"/>
      <c r="V43" s="171"/>
      <c r="W43" s="171"/>
      <c r="X43" s="171"/>
      <c r="Y43" s="107"/>
      <c r="Z43" s="107"/>
      <c r="AA43" s="107"/>
      <c r="AB43" s="107"/>
      <c r="AC43" s="107"/>
      <c r="AD43" s="107"/>
      <c r="AE43" s="56"/>
      <c r="AF43" s="56"/>
      <c r="AG43" s="56"/>
      <c r="AH43" s="56"/>
      <c r="AM43" s="9"/>
      <c r="AN43" s="9"/>
      <c r="AO43" s="9"/>
      <c r="AP43" s="9"/>
      <c r="AQ43" s="9"/>
      <c r="AR43" s="9"/>
      <c r="AS43" s="9"/>
      <c r="AT43" s="9"/>
      <c r="AU43" s="9"/>
      <c r="AV43" s="9"/>
    </row>
    <row r="44" spans="1:48" x14ac:dyDescent="0.25">
      <c r="A44" s="152" t="s">
        <v>134</v>
      </c>
      <c r="B44" s="154" t="s">
        <v>90</v>
      </c>
      <c r="C44" s="154" t="s">
        <v>127</v>
      </c>
      <c r="D44" s="154" t="s">
        <v>49</v>
      </c>
      <c r="E44" s="154" t="s">
        <v>128</v>
      </c>
      <c r="F44" s="154" t="s">
        <v>134</v>
      </c>
      <c r="G44" s="154"/>
      <c r="H44" s="154" t="s">
        <v>130</v>
      </c>
      <c r="I44" s="154">
        <v>-571500</v>
      </c>
      <c r="J44" s="154"/>
      <c r="K44" s="154"/>
      <c r="L44" s="154"/>
      <c r="M44" s="154"/>
      <c r="N44" s="154"/>
      <c r="O44" s="171"/>
      <c r="P44" s="171"/>
      <c r="Q44" s="171"/>
      <c r="R44" s="171"/>
      <c r="S44" s="171">
        <v>-571500</v>
      </c>
      <c r="T44" s="171"/>
      <c r="U44" s="171"/>
      <c r="V44" s="171"/>
      <c r="W44" s="171"/>
      <c r="X44" s="171"/>
      <c r="Y44" s="107"/>
      <c r="Z44" s="107"/>
      <c r="AA44" s="107"/>
      <c r="AB44" s="107"/>
      <c r="AC44" s="107"/>
      <c r="AD44" s="107"/>
      <c r="AE44" s="56"/>
      <c r="AF44" s="56"/>
      <c r="AG44" s="56"/>
      <c r="AH44" s="56"/>
      <c r="AM44" s="9"/>
      <c r="AN44" s="9"/>
      <c r="AO44" s="9"/>
      <c r="AP44" s="9"/>
      <c r="AQ44" s="9"/>
      <c r="AR44" s="9"/>
      <c r="AS44" s="9"/>
      <c r="AT44" s="9"/>
      <c r="AU44" s="9"/>
      <c r="AV44" s="9"/>
    </row>
    <row r="45" spans="1:48" x14ac:dyDescent="0.25">
      <c r="A45" s="152" t="s">
        <v>134</v>
      </c>
      <c r="B45" s="154" t="s">
        <v>90</v>
      </c>
      <c r="C45" s="154" t="s">
        <v>206</v>
      </c>
      <c r="D45" s="154" t="s">
        <v>49</v>
      </c>
      <c r="E45" s="154" t="s">
        <v>170</v>
      </c>
      <c r="F45" s="154" t="s">
        <v>134</v>
      </c>
      <c r="G45" s="154"/>
      <c r="H45" s="154" t="s">
        <v>207</v>
      </c>
      <c r="I45" s="154">
        <v>-1212842</v>
      </c>
      <c r="J45" s="154"/>
      <c r="K45" s="154"/>
      <c r="L45" s="154"/>
      <c r="M45" s="154"/>
      <c r="N45" s="154"/>
      <c r="O45" s="171"/>
      <c r="P45" s="171"/>
      <c r="Q45" s="171"/>
      <c r="R45" s="171"/>
      <c r="S45" s="171">
        <v>-1212842</v>
      </c>
      <c r="T45" s="171"/>
      <c r="U45" s="171"/>
      <c r="V45" s="171"/>
      <c r="W45" s="171"/>
      <c r="X45" s="171"/>
      <c r="Y45" s="107"/>
      <c r="Z45" s="107"/>
      <c r="AA45" s="107"/>
      <c r="AB45" s="107"/>
      <c r="AC45" s="107"/>
      <c r="AD45" s="107"/>
      <c r="AE45" s="56"/>
      <c r="AF45" s="56"/>
      <c r="AG45" s="56"/>
      <c r="AH45" s="56"/>
      <c r="AM45" s="9"/>
      <c r="AN45" s="9"/>
      <c r="AO45" s="9"/>
      <c r="AP45" s="9"/>
      <c r="AQ45" s="9"/>
      <c r="AR45" s="9"/>
      <c r="AS45" s="9"/>
      <c r="AT45" s="9"/>
      <c r="AU45" s="9"/>
      <c r="AV45" s="9"/>
    </row>
    <row r="46" spans="1:48" x14ac:dyDescent="0.25">
      <c r="A46" s="172" t="s">
        <v>134</v>
      </c>
      <c r="B46" s="171" t="s">
        <v>90</v>
      </c>
      <c r="C46" s="171" t="s">
        <v>208</v>
      </c>
      <c r="D46" s="171" t="s">
        <v>49</v>
      </c>
      <c r="E46" s="171" t="s">
        <v>170</v>
      </c>
      <c r="F46" s="171" t="s">
        <v>134</v>
      </c>
      <c r="G46" s="171"/>
      <c r="H46" s="171" t="s">
        <v>209</v>
      </c>
      <c r="I46" s="171">
        <v>-560000</v>
      </c>
      <c r="J46" s="171"/>
      <c r="K46" s="171"/>
      <c r="L46" s="171"/>
      <c r="M46" s="171"/>
      <c r="N46" s="171"/>
      <c r="O46" s="171"/>
      <c r="P46" s="171"/>
      <c r="Q46" s="171"/>
      <c r="R46" s="171"/>
      <c r="S46" s="171">
        <v>-560000</v>
      </c>
      <c r="T46" s="171"/>
      <c r="U46" s="171"/>
      <c r="V46" s="171"/>
      <c r="W46" s="171"/>
      <c r="X46" s="171"/>
      <c r="Y46" s="107"/>
      <c r="Z46" s="107"/>
      <c r="AA46" s="107"/>
      <c r="AB46" s="107"/>
      <c r="AC46" s="107"/>
      <c r="AD46" s="107"/>
      <c r="AE46" s="56"/>
      <c r="AF46" s="56"/>
      <c r="AG46" s="56"/>
      <c r="AH46" s="56"/>
      <c r="AM46" s="9"/>
      <c r="AN46" s="9"/>
      <c r="AO46" s="9"/>
      <c r="AP46" s="9"/>
      <c r="AQ46" s="9"/>
      <c r="AR46" s="9"/>
      <c r="AS46" s="9"/>
      <c r="AT46" s="9"/>
      <c r="AU46" s="9"/>
      <c r="AV46" s="9"/>
    </row>
    <row r="47" spans="1:48" x14ac:dyDescent="0.25">
      <c r="A47" s="172" t="s">
        <v>134</v>
      </c>
      <c r="B47" s="171" t="s">
        <v>90</v>
      </c>
      <c r="C47" s="171" t="s">
        <v>270</v>
      </c>
      <c r="D47" s="171" t="s">
        <v>49</v>
      </c>
      <c r="E47" s="171" t="s">
        <v>170</v>
      </c>
      <c r="F47" s="171" t="s">
        <v>134</v>
      </c>
      <c r="G47" s="171"/>
      <c r="H47" s="171" t="s">
        <v>207</v>
      </c>
      <c r="I47" s="171">
        <v>-486888</v>
      </c>
      <c r="J47" s="171"/>
      <c r="K47" s="171"/>
      <c r="L47" s="171"/>
      <c r="M47" s="171"/>
      <c r="N47" s="171"/>
      <c r="O47" s="171"/>
      <c r="P47" s="171"/>
      <c r="Q47" s="171"/>
      <c r="R47" s="171"/>
      <c r="S47" s="171">
        <v>-486888</v>
      </c>
      <c r="T47" s="171"/>
      <c r="U47" s="171"/>
      <c r="V47" s="171"/>
      <c r="W47" s="171"/>
      <c r="X47" s="171"/>
      <c r="Y47" s="107"/>
      <c r="Z47" s="107"/>
      <c r="AA47" s="107"/>
      <c r="AB47" s="107"/>
      <c r="AC47" s="107"/>
      <c r="AD47" s="107"/>
      <c r="AE47" s="56"/>
      <c r="AF47" s="56"/>
      <c r="AG47" s="56"/>
      <c r="AH47" s="56"/>
      <c r="AM47" s="9"/>
      <c r="AN47" s="9"/>
      <c r="AO47" s="9"/>
      <c r="AP47" s="9"/>
      <c r="AQ47" s="9"/>
      <c r="AR47" s="9"/>
      <c r="AS47" s="9"/>
      <c r="AT47" s="9"/>
      <c r="AU47" s="9"/>
      <c r="AV47" s="9"/>
    </row>
    <row r="48" spans="1:48" x14ac:dyDescent="0.25">
      <c r="A48" s="172" t="s">
        <v>134</v>
      </c>
      <c r="B48" s="171" t="s">
        <v>172</v>
      </c>
      <c r="C48" s="171" t="s">
        <v>228</v>
      </c>
      <c r="D48" s="171" t="s">
        <v>49</v>
      </c>
      <c r="E48" s="171" t="s">
        <v>112</v>
      </c>
      <c r="F48" s="171" t="s">
        <v>134</v>
      </c>
      <c r="G48" s="171"/>
      <c r="H48" s="171" t="s">
        <v>227</v>
      </c>
      <c r="I48" s="171">
        <v>-776983</v>
      </c>
      <c r="J48" s="171"/>
      <c r="K48" s="171"/>
      <c r="L48" s="171"/>
      <c r="M48" s="171"/>
      <c r="N48" s="171"/>
      <c r="O48" s="171"/>
      <c r="P48" s="171"/>
      <c r="Q48" s="171"/>
      <c r="R48" s="171"/>
      <c r="S48" s="171">
        <v>-776983</v>
      </c>
      <c r="T48" s="171"/>
      <c r="U48" s="171"/>
      <c r="V48" s="171"/>
      <c r="W48" s="171"/>
      <c r="X48" s="171"/>
      <c r="Y48" s="107"/>
      <c r="Z48" s="107"/>
      <c r="AA48" s="107"/>
      <c r="AB48" s="107"/>
      <c r="AC48" s="107"/>
      <c r="AD48" s="107"/>
      <c r="AE48" s="56"/>
      <c r="AF48" s="56"/>
      <c r="AG48" s="56"/>
      <c r="AH48" s="56"/>
      <c r="AM48" s="9"/>
      <c r="AN48" s="9"/>
      <c r="AO48" s="9"/>
      <c r="AP48" s="9"/>
      <c r="AQ48" s="9"/>
      <c r="AR48" s="9"/>
      <c r="AS48" s="9"/>
      <c r="AT48" s="9"/>
      <c r="AU48" s="9"/>
      <c r="AV48" s="9"/>
    </row>
    <row r="49" spans="1:48" x14ac:dyDescent="0.25">
      <c r="A49" s="172" t="s">
        <v>220</v>
      </c>
      <c r="B49" s="171" t="s">
        <v>90</v>
      </c>
      <c r="C49" s="171" t="s">
        <v>205</v>
      </c>
      <c r="D49" s="171" t="s">
        <v>49</v>
      </c>
      <c r="E49" s="171" t="s">
        <v>167</v>
      </c>
      <c r="F49" s="171" t="s">
        <v>220</v>
      </c>
      <c r="G49" s="171"/>
      <c r="H49" s="171" t="s">
        <v>168</v>
      </c>
      <c r="I49" s="171">
        <v>-171124</v>
      </c>
      <c r="J49" s="171"/>
      <c r="K49" s="171"/>
      <c r="L49" s="171"/>
      <c r="M49" s="171"/>
      <c r="N49" s="171"/>
      <c r="O49" s="171"/>
      <c r="P49" s="171"/>
      <c r="Q49" s="171"/>
      <c r="R49" s="171"/>
      <c r="S49" s="171">
        <v>-171124</v>
      </c>
      <c r="T49" s="171"/>
      <c r="U49" s="171"/>
      <c r="V49" s="171"/>
      <c r="W49" s="171"/>
      <c r="X49" s="171"/>
      <c r="Y49" s="107"/>
      <c r="Z49" s="107"/>
      <c r="AA49" s="107"/>
      <c r="AB49" s="107"/>
      <c r="AC49" s="107"/>
      <c r="AD49" s="107"/>
      <c r="AE49" s="56"/>
      <c r="AF49" s="56"/>
      <c r="AG49" s="56"/>
      <c r="AH49" s="56"/>
      <c r="AM49" s="9"/>
      <c r="AN49" s="9"/>
      <c r="AO49" s="9"/>
      <c r="AP49" s="9"/>
      <c r="AQ49" s="9"/>
      <c r="AR49" s="9"/>
      <c r="AS49" s="9"/>
      <c r="AT49" s="9"/>
      <c r="AU49" s="9"/>
      <c r="AV49" s="9"/>
    </row>
    <row r="50" spans="1:48" x14ac:dyDescent="0.25">
      <c r="A50" s="172"/>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07"/>
      <c r="Z50" s="107"/>
      <c r="AA50" s="107"/>
      <c r="AB50" s="107"/>
      <c r="AC50" s="107"/>
      <c r="AD50" s="107"/>
      <c r="AE50" s="56"/>
      <c r="AF50" s="56"/>
      <c r="AG50" s="56"/>
      <c r="AH50" s="56"/>
      <c r="AM50" s="9"/>
      <c r="AN50" s="9"/>
      <c r="AO50" s="9"/>
      <c r="AP50" s="9"/>
      <c r="AQ50" s="9"/>
      <c r="AR50" s="9"/>
      <c r="AS50" s="9"/>
      <c r="AT50" s="9"/>
      <c r="AU50" s="9"/>
      <c r="AV50" s="9"/>
    </row>
    <row r="51" spans="1:48" ht="15.75" x14ac:dyDescent="0.25">
      <c r="A51" s="219" t="s">
        <v>85</v>
      </c>
      <c r="B51" s="219"/>
      <c r="C51" s="219"/>
      <c r="D51" s="219"/>
      <c r="E51" s="219"/>
      <c r="F51" s="219"/>
      <c r="G51" s="219"/>
      <c r="AO51" s="56"/>
      <c r="AP51" s="56"/>
      <c r="AQ51" s="56"/>
      <c r="AR51" s="56"/>
    </row>
    <row r="53" spans="1:48" s="113" customFormat="1" x14ac:dyDescent="0.25">
      <c r="A53" s="112" t="s">
        <v>46</v>
      </c>
      <c r="B53" s="112" t="s">
        <v>47</v>
      </c>
      <c r="C53" s="112" t="s">
        <v>13</v>
      </c>
      <c r="D53" s="112" t="s">
        <v>93</v>
      </c>
      <c r="E53" s="112" t="s">
        <v>94</v>
      </c>
      <c r="F53" s="112" t="s">
        <v>48</v>
      </c>
      <c r="G53" s="112" t="s">
        <v>95</v>
      </c>
      <c r="H53" s="112" t="s">
        <v>96</v>
      </c>
      <c r="I53" s="112" t="s">
        <v>10</v>
      </c>
      <c r="J53" s="112" t="s">
        <v>43</v>
      </c>
      <c r="K53" s="112" t="s">
        <v>248</v>
      </c>
      <c r="L53" s="112" t="s">
        <v>259</v>
      </c>
      <c r="M53" s="112" t="s">
        <v>4</v>
      </c>
      <c r="N53" s="112" t="s">
        <v>249</v>
      </c>
      <c r="O53" s="32" t="s">
        <v>5</v>
      </c>
      <c r="P53" s="32" t="s">
        <v>221</v>
      </c>
      <c r="Q53" s="32" t="s">
        <v>222</v>
      </c>
      <c r="R53" s="32" t="s">
        <v>250</v>
      </c>
      <c r="S53" s="32" t="s">
        <v>251</v>
      </c>
      <c r="T53" s="32" t="s">
        <v>223</v>
      </c>
      <c r="U53" s="32" t="s">
        <v>224</v>
      </c>
      <c r="V53" s="32" t="s">
        <v>252</v>
      </c>
      <c r="W53" s="32" t="s">
        <v>236</v>
      </c>
      <c r="X53" s="32"/>
      <c r="Y53" s="112"/>
      <c r="Z53" s="112"/>
      <c r="AA53" s="112"/>
      <c r="AB53" s="112"/>
      <c r="AC53" s="26"/>
      <c r="AD53" s="26"/>
      <c r="AE53" s="26"/>
      <c r="AF53" s="26"/>
      <c r="AG53" s="26"/>
      <c r="AH53" s="26"/>
      <c r="AI53" s="26"/>
      <c r="AJ53" s="26"/>
    </row>
    <row r="54" spans="1:48" s="108" customFormat="1" ht="13.5" x14ac:dyDescent="0.25">
      <c r="A54" s="107" t="s">
        <v>104</v>
      </c>
      <c r="B54" s="107" t="s">
        <v>103</v>
      </c>
      <c r="C54" s="107" t="s">
        <v>105</v>
      </c>
      <c r="D54" s="107" t="s">
        <v>102</v>
      </c>
      <c r="E54" s="107" t="s">
        <v>49</v>
      </c>
      <c r="F54" s="107" t="s">
        <v>106</v>
      </c>
      <c r="G54" s="107"/>
      <c r="H54" s="107" t="s">
        <v>107</v>
      </c>
      <c r="I54" s="107">
        <v>451757.81</v>
      </c>
      <c r="J54" s="107"/>
      <c r="K54" s="107"/>
      <c r="L54" s="107"/>
      <c r="M54" s="107"/>
      <c r="N54" s="107"/>
      <c r="O54" s="107">
        <v>451757.81</v>
      </c>
      <c r="P54" s="107"/>
      <c r="Q54" s="107"/>
      <c r="R54" s="107"/>
      <c r="S54" s="107"/>
      <c r="T54" s="107"/>
      <c r="U54" s="107"/>
      <c r="V54" s="107"/>
      <c r="W54" s="107"/>
      <c r="X54" s="107"/>
      <c r="Y54" s="107"/>
      <c r="Z54" s="107"/>
      <c r="AA54" s="107"/>
      <c r="AB54" s="107"/>
      <c r="AC54" s="111"/>
      <c r="AD54" s="111"/>
      <c r="AE54" s="111"/>
      <c r="AF54" s="111"/>
      <c r="AG54" s="111"/>
      <c r="AH54" s="111"/>
      <c r="AI54" s="111"/>
      <c r="AJ54" s="111"/>
    </row>
    <row r="55" spans="1:48" s="108" customFormat="1" ht="13.5" x14ac:dyDescent="0.25">
      <c r="A55" s="107" t="s">
        <v>104</v>
      </c>
      <c r="B55" s="107" t="s">
        <v>103</v>
      </c>
      <c r="C55" s="107" t="s">
        <v>108</v>
      </c>
      <c r="D55" s="107" t="s">
        <v>49</v>
      </c>
      <c r="E55" s="107" t="s">
        <v>109</v>
      </c>
      <c r="F55" s="107"/>
      <c r="G55" s="107"/>
      <c r="H55" s="107" t="s">
        <v>110</v>
      </c>
      <c r="I55" s="107">
        <v>969391</v>
      </c>
      <c r="J55" s="107"/>
      <c r="K55" s="107"/>
      <c r="L55" s="107"/>
      <c r="M55" s="107"/>
      <c r="N55" s="107"/>
      <c r="O55" s="107"/>
      <c r="P55" s="107"/>
      <c r="Q55" s="107"/>
      <c r="R55" s="107"/>
      <c r="S55" s="107">
        <v>969391</v>
      </c>
      <c r="T55" s="107"/>
      <c r="U55" s="107"/>
      <c r="V55" s="107"/>
      <c r="W55" s="107"/>
      <c r="X55" s="107"/>
      <c r="Y55" s="107"/>
      <c r="Z55" s="107"/>
      <c r="AA55" s="107"/>
      <c r="AB55" s="107"/>
      <c r="AC55" s="111"/>
      <c r="AD55" s="111"/>
      <c r="AE55" s="111"/>
      <c r="AF55" s="111"/>
      <c r="AG55" s="111"/>
      <c r="AH55" s="111"/>
      <c r="AI55" s="111"/>
      <c r="AJ55" s="111"/>
    </row>
    <row r="56" spans="1:48" s="108" customFormat="1" ht="13.5" x14ac:dyDescent="0.25">
      <c r="A56" s="107" t="s">
        <v>104</v>
      </c>
      <c r="B56" s="107" t="s">
        <v>91</v>
      </c>
      <c r="C56" s="107" t="s">
        <v>111</v>
      </c>
      <c r="D56" s="107" t="s">
        <v>112</v>
      </c>
      <c r="E56" s="107" t="s">
        <v>49</v>
      </c>
      <c r="F56" s="107" t="s">
        <v>113</v>
      </c>
      <c r="G56" s="107"/>
      <c r="H56" s="107" t="s">
        <v>114</v>
      </c>
      <c r="I56" s="107">
        <v>540000</v>
      </c>
      <c r="J56" s="107"/>
      <c r="K56" s="107"/>
      <c r="L56" s="107"/>
      <c r="M56" s="107"/>
      <c r="N56" s="107"/>
      <c r="O56" s="107"/>
      <c r="P56" s="107"/>
      <c r="Q56" s="107"/>
      <c r="R56" s="107"/>
      <c r="S56" s="107">
        <v>540000</v>
      </c>
      <c r="T56" s="107"/>
      <c r="U56" s="107"/>
      <c r="V56" s="107"/>
      <c r="W56" s="107"/>
      <c r="X56" s="107"/>
      <c r="Y56" s="107"/>
      <c r="Z56" s="107"/>
      <c r="AA56" s="107"/>
      <c r="AB56" s="107"/>
      <c r="AC56" s="111"/>
      <c r="AD56" s="111"/>
      <c r="AE56" s="111"/>
      <c r="AF56" s="111"/>
      <c r="AG56" s="111"/>
      <c r="AH56" s="111"/>
      <c r="AI56" s="111"/>
      <c r="AJ56" s="111"/>
    </row>
    <row r="57" spans="1:48" s="108" customFormat="1" ht="13.5" x14ac:dyDescent="0.25">
      <c r="A57" s="107" t="s">
        <v>104</v>
      </c>
      <c r="B57" s="107" t="s">
        <v>91</v>
      </c>
      <c r="C57" s="107" t="s">
        <v>115</v>
      </c>
      <c r="D57" s="107" t="s">
        <v>102</v>
      </c>
      <c r="E57" s="107" t="s">
        <v>49</v>
      </c>
      <c r="F57" s="107" t="s">
        <v>104</v>
      </c>
      <c r="G57" s="107" t="s">
        <v>116</v>
      </c>
      <c r="H57" s="107" t="s">
        <v>117</v>
      </c>
      <c r="I57" s="107">
        <v>1722861</v>
      </c>
      <c r="J57" s="107"/>
      <c r="K57" s="107"/>
      <c r="L57" s="107"/>
      <c r="M57" s="107">
        <v>1722861</v>
      </c>
      <c r="N57" s="107"/>
      <c r="O57" s="107"/>
      <c r="P57" s="107"/>
      <c r="Q57" s="107"/>
      <c r="R57" s="107"/>
      <c r="S57" s="107"/>
      <c r="T57" s="107"/>
      <c r="U57" s="107"/>
      <c r="V57" s="107"/>
      <c r="W57" s="107"/>
      <c r="X57" s="107"/>
      <c r="Y57" s="107"/>
      <c r="Z57" s="107"/>
      <c r="AA57" s="107"/>
      <c r="AB57" s="107"/>
    </row>
    <row r="58" spans="1:48" s="108" customFormat="1" ht="13.5" x14ac:dyDescent="0.25">
      <c r="A58" s="107" t="s">
        <v>104</v>
      </c>
      <c r="B58" s="107" t="s">
        <v>91</v>
      </c>
      <c r="C58" s="107" t="s">
        <v>118</v>
      </c>
      <c r="D58" s="107" t="s">
        <v>102</v>
      </c>
      <c r="E58" s="107" t="s">
        <v>49</v>
      </c>
      <c r="F58" s="107" t="s">
        <v>104</v>
      </c>
      <c r="G58" s="107" t="s">
        <v>119</v>
      </c>
      <c r="H58" s="107" t="s">
        <v>117</v>
      </c>
      <c r="I58" s="107">
        <v>647765</v>
      </c>
      <c r="J58" s="107"/>
      <c r="K58" s="107"/>
      <c r="L58" s="107"/>
      <c r="M58" s="107">
        <v>647765</v>
      </c>
      <c r="N58" s="107"/>
      <c r="O58" s="107"/>
      <c r="P58" s="107"/>
      <c r="Q58" s="107"/>
      <c r="R58" s="107"/>
      <c r="S58" s="107"/>
      <c r="T58" s="107"/>
      <c r="U58" s="107"/>
      <c r="V58" s="107"/>
      <c r="W58" s="107"/>
      <c r="X58" s="107"/>
      <c r="Y58" s="107"/>
      <c r="Z58" s="107"/>
      <c r="AA58" s="107"/>
      <c r="AB58" s="107"/>
    </row>
    <row r="59" spans="1:48" s="108" customFormat="1" ht="13.5" x14ac:dyDescent="0.25">
      <c r="A59" s="107" t="s">
        <v>104</v>
      </c>
      <c r="B59" s="107" t="s">
        <v>91</v>
      </c>
      <c r="C59" s="107" t="s">
        <v>120</v>
      </c>
      <c r="D59" s="107" t="s">
        <v>102</v>
      </c>
      <c r="E59" s="107" t="s">
        <v>49</v>
      </c>
      <c r="F59" s="107" t="s">
        <v>104</v>
      </c>
      <c r="G59" s="107" t="s">
        <v>121</v>
      </c>
      <c r="H59" s="107" t="s">
        <v>117</v>
      </c>
      <c r="I59" s="107">
        <v>775618</v>
      </c>
      <c r="J59" s="107"/>
      <c r="K59" s="107"/>
      <c r="L59" s="107"/>
      <c r="M59" s="107">
        <v>775618</v>
      </c>
      <c r="N59" s="107"/>
      <c r="O59" s="107"/>
      <c r="P59" s="107"/>
      <c r="Q59" s="107"/>
      <c r="R59" s="107"/>
      <c r="S59" s="107"/>
      <c r="T59" s="107"/>
      <c r="U59" s="107"/>
      <c r="V59" s="107"/>
      <c r="W59" s="107"/>
      <c r="X59" s="107"/>
      <c r="Y59" s="107"/>
      <c r="Z59" s="107"/>
      <c r="AA59" s="107"/>
      <c r="AB59" s="107"/>
    </row>
    <row r="60" spans="1:48" s="108" customFormat="1" ht="13.5" x14ac:dyDescent="0.25">
      <c r="A60" s="111" t="s">
        <v>104</v>
      </c>
      <c r="B60" s="111" t="s">
        <v>91</v>
      </c>
      <c r="C60" s="111" t="s">
        <v>122</v>
      </c>
      <c r="D60" s="111" t="s">
        <v>102</v>
      </c>
      <c r="E60" s="111" t="s">
        <v>49</v>
      </c>
      <c r="F60" s="111" t="s">
        <v>104</v>
      </c>
      <c r="G60" s="111" t="s">
        <v>123</v>
      </c>
      <c r="H60" s="111" t="s">
        <v>117</v>
      </c>
      <c r="I60" s="111">
        <v>203637</v>
      </c>
      <c r="J60" s="111"/>
      <c r="K60" s="111"/>
      <c r="L60" s="111"/>
      <c r="M60" s="111">
        <v>203637</v>
      </c>
      <c r="N60" s="111"/>
      <c r="O60" s="111"/>
      <c r="P60" s="111"/>
      <c r="Q60" s="111"/>
      <c r="R60" s="111"/>
      <c r="S60" s="111"/>
      <c r="T60" s="111"/>
      <c r="U60" s="111"/>
      <c r="V60" s="111"/>
      <c r="W60" s="111"/>
      <c r="X60" s="111"/>
      <c r="Y60" s="111"/>
      <c r="Z60" s="111"/>
      <c r="AA60" s="111"/>
      <c r="AB60" s="111"/>
    </row>
    <row r="61" spans="1:48" s="108" customFormat="1" ht="13.5" x14ac:dyDescent="0.25">
      <c r="A61" s="111" t="s">
        <v>106</v>
      </c>
      <c r="B61" s="111" t="s">
        <v>103</v>
      </c>
      <c r="C61" s="111" t="s">
        <v>127</v>
      </c>
      <c r="D61" s="111" t="s">
        <v>128</v>
      </c>
      <c r="E61" s="111" t="s">
        <v>49</v>
      </c>
      <c r="F61" s="111" t="s">
        <v>129</v>
      </c>
      <c r="G61" s="111"/>
      <c r="H61" s="111" t="s">
        <v>130</v>
      </c>
      <c r="I61" s="111">
        <v>4252198</v>
      </c>
      <c r="J61" s="111"/>
      <c r="K61" s="111"/>
      <c r="L61" s="111"/>
      <c r="M61" s="111"/>
      <c r="N61" s="111"/>
      <c r="O61" s="111"/>
      <c r="P61" s="111"/>
      <c r="Q61" s="111"/>
      <c r="R61" s="111"/>
      <c r="S61" s="111">
        <v>4252198</v>
      </c>
      <c r="T61" s="111"/>
      <c r="U61" s="111"/>
      <c r="V61" s="111"/>
      <c r="W61" s="111"/>
      <c r="X61" s="111"/>
      <c r="Y61" s="111"/>
      <c r="Z61" s="111"/>
      <c r="AA61" s="111"/>
      <c r="AB61" s="111"/>
    </row>
    <row r="62" spans="1:48" s="108" customFormat="1" ht="13.5" x14ac:dyDescent="0.25">
      <c r="A62" s="111" t="s">
        <v>106</v>
      </c>
      <c r="B62" s="111" t="s">
        <v>153</v>
      </c>
      <c r="C62" s="111" t="s">
        <v>154</v>
      </c>
      <c r="D62" s="111" t="s">
        <v>49</v>
      </c>
      <c r="E62" s="111" t="s">
        <v>102</v>
      </c>
      <c r="F62" s="111" t="s">
        <v>125</v>
      </c>
      <c r="G62" s="111"/>
      <c r="H62" s="111" t="s">
        <v>155</v>
      </c>
      <c r="I62" s="111">
        <v>-713568.9</v>
      </c>
      <c r="J62" s="111"/>
      <c r="K62" s="111"/>
      <c r="L62" s="111"/>
      <c r="M62" s="111"/>
      <c r="N62" s="111"/>
      <c r="O62" s="111"/>
      <c r="P62" s="111"/>
      <c r="Q62" s="111"/>
      <c r="R62" s="111"/>
      <c r="S62" s="111"/>
      <c r="T62" s="111"/>
      <c r="U62" s="111"/>
      <c r="V62" s="111"/>
      <c r="W62" s="111"/>
      <c r="X62" s="111"/>
      <c r="Y62" s="111"/>
      <c r="Z62" s="111"/>
      <c r="AA62" s="111"/>
      <c r="AB62" s="111"/>
    </row>
    <row r="63" spans="1:48" s="108" customFormat="1" ht="13.5" x14ac:dyDescent="0.25">
      <c r="A63" s="111" t="s">
        <v>106</v>
      </c>
      <c r="B63" s="111" t="s">
        <v>90</v>
      </c>
      <c r="C63" s="111" t="s">
        <v>105</v>
      </c>
      <c r="D63" s="111" t="s">
        <v>49</v>
      </c>
      <c r="E63" s="111" t="s">
        <v>102</v>
      </c>
      <c r="F63" s="111" t="s">
        <v>106</v>
      </c>
      <c r="G63" s="111"/>
      <c r="H63" s="111" t="s">
        <v>124</v>
      </c>
      <c r="I63" s="111">
        <v>-451757.81</v>
      </c>
      <c r="J63" s="111"/>
      <c r="K63" s="111"/>
      <c r="L63" s="111"/>
      <c r="M63" s="111"/>
      <c r="N63" s="111"/>
      <c r="O63" s="111">
        <v>-451757.81</v>
      </c>
      <c r="P63" s="111"/>
      <c r="Q63" s="111"/>
      <c r="R63" s="111"/>
      <c r="S63" s="111"/>
      <c r="T63" s="111"/>
      <c r="U63" s="111"/>
      <c r="V63" s="111"/>
      <c r="W63" s="111"/>
      <c r="X63" s="111"/>
      <c r="Y63" s="111"/>
      <c r="Z63" s="111"/>
      <c r="AA63" s="111"/>
      <c r="AB63" s="111"/>
    </row>
    <row r="64" spans="1:48" s="108" customFormat="1" ht="13.5" x14ac:dyDescent="0.25">
      <c r="A64" s="111" t="s">
        <v>125</v>
      </c>
      <c r="B64" s="111" t="s">
        <v>156</v>
      </c>
      <c r="C64" s="111" t="s">
        <v>154</v>
      </c>
      <c r="D64" s="111" t="s">
        <v>102</v>
      </c>
      <c r="E64" s="111" t="s">
        <v>49</v>
      </c>
      <c r="F64" s="111"/>
      <c r="G64" s="111"/>
      <c r="H64" s="111" t="s">
        <v>155</v>
      </c>
      <c r="I64" s="111">
        <v>713568.9</v>
      </c>
      <c r="J64" s="111"/>
      <c r="K64" s="111"/>
      <c r="L64" s="111"/>
      <c r="M64" s="111"/>
      <c r="N64" s="111"/>
      <c r="O64" s="111"/>
      <c r="P64" s="111"/>
      <c r="Q64" s="111"/>
      <c r="R64" s="111"/>
      <c r="S64" s="111"/>
      <c r="T64" s="111"/>
      <c r="U64" s="111"/>
      <c r="V64" s="111"/>
      <c r="W64" s="111"/>
      <c r="X64" s="111"/>
      <c r="Y64" s="111"/>
      <c r="Z64" s="111"/>
      <c r="AA64" s="111"/>
      <c r="AB64" s="111"/>
    </row>
    <row r="65" spans="1:48" s="108" customFormat="1" ht="13.5" x14ac:dyDescent="0.25">
      <c r="A65" s="111" t="s">
        <v>125</v>
      </c>
      <c r="B65" s="111" t="s">
        <v>90</v>
      </c>
      <c r="C65" s="111" t="s">
        <v>108</v>
      </c>
      <c r="D65" s="111" t="s">
        <v>109</v>
      </c>
      <c r="E65" s="111" t="s">
        <v>49</v>
      </c>
      <c r="F65" s="111" t="s">
        <v>125</v>
      </c>
      <c r="G65" s="111"/>
      <c r="H65" s="111" t="s">
        <v>126</v>
      </c>
      <c r="I65" s="111">
        <v>-969391</v>
      </c>
      <c r="J65" s="111"/>
      <c r="K65" s="111"/>
      <c r="L65" s="111"/>
      <c r="M65" s="111"/>
      <c r="N65" s="111"/>
      <c r="O65" s="111"/>
      <c r="P65" s="111"/>
      <c r="Q65" s="111"/>
      <c r="R65" s="111"/>
      <c r="S65" s="111">
        <v>-969391</v>
      </c>
      <c r="T65" s="111"/>
      <c r="U65" s="111"/>
      <c r="V65" s="111"/>
      <c r="W65" s="111"/>
      <c r="X65" s="111"/>
      <c r="Y65" s="111"/>
      <c r="Z65" s="111"/>
      <c r="AA65" s="111"/>
      <c r="AB65" s="111"/>
      <c r="AC65" s="111"/>
      <c r="AD65" s="111"/>
      <c r="AE65" s="111"/>
      <c r="AF65" s="111"/>
    </row>
    <row r="66" spans="1:48" s="108" customFormat="1" ht="13.5" x14ac:dyDescent="0.25">
      <c r="A66" s="111" t="s">
        <v>131</v>
      </c>
      <c r="B66" s="111" t="s">
        <v>103</v>
      </c>
      <c r="C66" s="111" t="s">
        <v>166</v>
      </c>
      <c r="D66" s="111" t="s">
        <v>167</v>
      </c>
      <c r="E66" s="111" t="s">
        <v>49</v>
      </c>
      <c r="F66" s="111" t="s">
        <v>132</v>
      </c>
      <c r="G66" s="111"/>
      <c r="H66" s="111" t="s">
        <v>168</v>
      </c>
      <c r="I66" s="111">
        <v>633480</v>
      </c>
      <c r="J66" s="111"/>
      <c r="K66" s="111"/>
      <c r="L66" s="111"/>
      <c r="M66" s="111"/>
      <c r="N66" s="111"/>
      <c r="O66" s="111"/>
      <c r="P66" s="111"/>
      <c r="Q66" s="111"/>
      <c r="R66" s="111"/>
      <c r="S66" s="111">
        <v>633480</v>
      </c>
      <c r="T66" s="111"/>
      <c r="U66" s="111"/>
      <c r="V66" s="111"/>
      <c r="W66" s="111"/>
      <c r="X66" s="111"/>
      <c r="Y66" s="111"/>
      <c r="Z66" s="111"/>
      <c r="AA66" s="111"/>
      <c r="AB66" s="111"/>
      <c r="AC66" s="111"/>
      <c r="AD66" s="111"/>
      <c r="AE66" s="111"/>
      <c r="AF66" s="111"/>
    </row>
    <row r="67" spans="1:48" s="108" customFormat="1" ht="13.5" x14ac:dyDescent="0.25">
      <c r="A67" s="111" t="s">
        <v>131</v>
      </c>
      <c r="B67" s="111" t="s">
        <v>103</v>
      </c>
      <c r="C67" s="111" t="s">
        <v>169</v>
      </c>
      <c r="D67" s="111" t="s">
        <v>170</v>
      </c>
      <c r="E67" s="111" t="s">
        <v>49</v>
      </c>
      <c r="F67" s="111" t="s">
        <v>133</v>
      </c>
      <c r="G67" s="111"/>
      <c r="H67" s="111" t="s">
        <v>171</v>
      </c>
      <c r="I67" s="111">
        <v>473063</v>
      </c>
      <c r="J67" s="111"/>
      <c r="K67" s="111"/>
      <c r="L67" s="111"/>
      <c r="M67" s="111">
        <v>473063</v>
      </c>
      <c r="N67" s="111"/>
      <c r="O67" s="111"/>
      <c r="P67" s="111"/>
      <c r="Q67" s="111"/>
      <c r="R67" s="111"/>
      <c r="S67" s="111"/>
      <c r="T67" s="111"/>
      <c r="U67" s="111"/>
      <c r="V67" s="111"/>
      <c r="W67" s="111"/>
      <c r="X67" s="111"/>
      <c r="Y67" s="111"/>
      <c r="Z67" s="111"/>
      <c r="AA67" s="111"/>
      <c r="AB67" s="111"/>
      <c r="AC67" s="111"/>
      <c r="AD67" s="111"/>
      <c r="AE67" s="111"/>
      <c r="AF67" s="111"/>
    </row>
    <row r="68" spans="1:48" x14ac:dyDescent="0.25">
      <c r="A68" s="114" t="s">
        <v>131</v>
      </c>
      <c r="B68" s="114" t="s">
        <v>90</v>
      </c>
      <c r="C68" s="114" t="s">
        <v>127</v>
      </c>
      <c r="D68" s="114" t="s">
        <v>49</v>
      </c>
      <c r="E68" s="114" t="s">
        <v>128</v>
      </c>
      <c r="F68" s="114" t="s">
        <v>131</v>
      </c>
      <c r="G68" s="114"/>
      <c r="H68" s="114" t="s">
        <v>130</v>
      </c>
      <c r="I68" s="114">
        <v>-1200000</v>
      </c>
      <c r="J68" s="114"/>
      <c r="K68" s="114"/>
      <c r="L68" s="114"/>
      <c r="M68" s="114"/>
      <c r="N68" s="114"/>
      <c r="O68" s="111"/>
      <c r="P68" s="111"/>
      <c r="Q68" s="111"/>
      <c r="R68" s="111"/>
      <c r="S68" s="111">
        <v>-1200000</v>
      </c>
      <c r="T68" s="111"/>
      <c r="U68" s="111"/>
      <c r="V68" s="111"/>
      <c r="W68" s="111"/>
      <c r="X68" s="111"/>
      <c r="Y68" s="114"/>
      <c r="Z68" s="114"/>
      <c r="AA68" s="114"/>
      <c r="AB68" s="114"/>
      <c r="AC68" s="25"/>
      <c r="AD68" s="25"/>
      <c r="AG68" s="9"/>
      <c r="AH68" s="9"/>
      <c r="AI68" s="9"/>
      <c r="AJ68" s="9"/>
      <c r="AK68" s="9"/>
      <c r="AL68" s="9"/>
      <c r="AM68" s="9"/>
      <c r="AN68" s="9"/>
      <c r="AO68" s="9"/>
      <c r="AP68" s="9"/>
      <c r="AQ68" s="9"/>
      <c r="AR68" s="9"/>
      <c r="AS68" s="9"/>
      <c r="AT68" s="9"/>
      <c r="AU68" s="9"/>
      <c r="AV68" s="9"/>
    </row>
    <row r="69" spans="1:48" x14ac:dyDescent="0.25">
      <c r="A69" s="114" t="s">
        <v>132</v>
      </c>
      <c r="B69" s="114" t="s">
        <v>103</v>
      </c>
      <c r="C69" s="114" t="s">
        <v>205</v>
      </c>
      <c r="D69" s="114" t="s">
        <v>167</v>
      </c>
      <c r="E69" s="114" t="s">
        <v>49</v>
      </c>
      <c r="F69" s="114" t="s">
        <v>219</v>
      </c>
      <c r="G69" s="114"/>
      <c r="H69" s="114" t="s">
        <v>168</v>
      </c>
      <c r="I69" s="114">
        <v>196124</v>
      </c>
      <c r="J69" s="114"/>
      <c r="K69" s="114"/>
      <c r="L69" s="114"/>
      <c r="M69" s="114"/>
      <c r="N69" s="114"/>
      <c r="O69" s="111"/>
      <c r="P69" s="111"/>
      <c r="Q69" s="111"/>
      <c r="R69" s="111"/>
      <c r="S69" s="111">
        <v>196124</v>
      </c>
      <c r="T69" s="111"/>
      <c r="U69" s="111"/>
      <c r="V69" s="111"/>
      <c r="W69" s="111"/>
      <c r="X69" s="111"/>
      <c r="Y69" s="114"/>
      <c r="Z69" s="114"/>
      <c r="AA69" s="114"/>
      <c r="AB69" s="114"/>
      <c r="AC69" s="25"/>
      <c r="AD69" s="25"/>
      <c r="AG69" s="9"/>
      <c r="AH69" s="9"/>
      <c r="AI69" s="9"/>
      <c r="AJ69" s="9"/>
      <c r="AK69" s="9"/>
      <c r="AL69" s="9"/>
      <c r="AM69" s="9"/>
      <c r="AN69" s="9"/>
      <c r="AO69" s="9"/>
      <c r="AP69" s="9"/>
      <c r="AQ69" s="9"/>
      <c r="AR69" s="9"/>
      <c r="AS69" s="9"/>
      <c r="AT69" s="9"/>
      <c r="AU69" s="9"/>
      <c r="AV69" s="9"/>
    </row>
    <row r="70" spans="1:48" x14ac:dyDescent="0.25">
      <c r="A70" s="133" t="s">
        <v>132</v>
      </c>
      <c r="B70" s="133" t="s">
        <v>103</v>
      </c>
      <c r="C70" s="133" t="s">
        <v>206</v>
      </c>
      <c r="D70" s="133" t="s">
        <v>170</v>
      </c>
      <c r="E70" s="133" t="s">
        <v>49</v>
      </c>
      <c r="F70" s="133" t="s">
        <v>134</v>
      </c>
      <c r="G70" s="133"/>
      <c r="H70" s="133" t="s">
        <v>207</v>
      </c>
      <c r="I70" s="133">
        <v>1212842</v>
      </c>
      <c r="J70" s="133"/>
      <c r="K70" s="133"/>
      <c r="L70" s="133"/>
      <c r="M70" s="133"/>
      <c r="N70" s="133"/>
      <c r="O70" s="111"/>
      <c r="P70" s="111"/>
      <c r="Q70" s="111"/>
      <c r="R70" s="111"/>
      <c r="S70" s="111">
        <v>1212842</v>
      </c>
      <c r="T70" s="111"/>
      <c r="U70" s="111"/>
      <c r="V70" s="111"/>
      <c r="W70" s="111"/>
      <c r="X70" s="111"/>
      <c r="Y70" s="133"/>
      <c r="Z70" s="133"/>
      <c r="AA70" s="133"/>
      <c r="AB70" s="133"/>
      <c r="AC70" s="25"/>
      <c r="AD70" s="25"/>
      <c r="AG70" s="9"/>
      <c r="AH70" s="9"/>
      <c r="AI70" s="9"/>
      <c r="AJ70" s="9"/>
      <c r="AK70" s="9"/>
      <c r="AL70" s="9"/>
      <c r="AM70" s="9"/>
      <c r="AN70" s="9"/>
      <c r="AO70" s="9"/>
      <c r="AP70" s="9"/>
      <c r="AQ70" s="9"/>
      <c r="AR70" s="9"/>
      <c r="AS70" s="9"/>
      <c r="AT70" s="9"/>
      <c r="AU70" s="9"/>
      <c r="AV70" s="9"/>
    </row>
    <row r="71" spans="1:48" x14ac:dyDescent="0.25">
      <c r="A71" s="133" t="s">
        <v>132</v>
      </c>
      <c r="B71" s="133" t="s">
        <v>103</v>
      </c>
      <c r="C71" s="133" t="s">
        <v>208</v>
      </c>
      <c r="D71" s="133" t="s">
        <v>170</v>
      </c>
      <c r="E71" s="133" t="s">
        <v>49</v>
      </c>
      <c r="F71" s="133" t="s">
        <v>134</v>
      </c>
      <c r="G71" s="133"/>
      <c r="H71" s="133" t="s">
        <v>209</v>
      </c>
      <c r="I71" s="133">
        <v>560000</v>
      </c>
      <c r="J71" s="133"/>
      <c r="K71" s="133"/>
      <c r="L71" s="133"/>
      <c r="M71" s="133">
        <v>560000</v>
      </c>
      <c r="N71" s="133"/>
      <c r="O71" s="111"/>
      <c r="P71" s="111"/>
      <c r="Q71" s="111"/>
      <c r="R71" s="111"/>
      <c r="S71" s="111"/>
      <c r="T71" s="111"/>
      <c r="U71" s="111"/>
      <c r="V71" s="111"/>
      <c r="W71" s="111"/>
      <c r="X71" s="111"/>
      <c r="Y71" s="133"/>
      <c r="Z71" s="133"/>
      <c r="AA71" s="133"/>
      <c r="AB71" s="133"/>
      <c r="AC71" s="25"/>
      <c r="AD71" s="25"/>
      <c r="AG71" s="9"/>
      <c r="AH71" s="9"/>
      <c r="AI71" s="9"/>
      <c r="AJ71" s="9"/>
      <c r="AK71" s="9"/>
      <c r="AL71" s="9"/>
      <c r="AM71" s="9"/>
      <c r="AN71" s="9"/>
      <c r="AO71" s="9"/>
      <c r="AP71" s="9"/>
      <c r="AQ71" s="9"/>
      <c r="AR71" s="9"/>
      <c r="AS71" s="9"/>
      <c r="AT71" s="9"/>
      <c r="AU71" s="9"/>
      <c r="AV71" s="9"/>
    </row>
    <row r="72" spans="1:48" x14ac:dyDescent="0.25">
      <c r="A72" s="140" t="s">
        <v>132</v>
      </c>
      <c r="B72" s="140" t="s">
        <v>90</v>
      </c>
      <c r="C72" s="140" t="s">
        <v>127</v>
      </c>
      <c r="D72" s="140" t="s">
        <v>49</v>
      </c>
      <c r="E72" s="140" t="s">
        <v>128</v>
      </c>
      <c r="F72" s="140" t="s">
        <v>132</v>
      </c>
      <c r="G72" s="140"/>
      <c r="H72" s="140" t="s">
        <v>130</v>
      </c>
      <c r="I72" s="140">
        <v>-2000000</v>
      </c>
      <c r="J72" s="140"/>
      <c r="K72" s="140"/>
      <c r="L72" s="140"/>
      <c r="M72" s="140"/>
      <c r="N72" s="140"/>
      <c r="O72" s="111"/>
      <c r="P72" s="111"/>
      <c r="Q72" s="111"/>
      <c r="R72" s="111"/>
      <c r="S72" s="111">
        <v>-2000000</v>
      </c>
      <c r="T72" s="111"/>
      <c r="U72" s="111"/>
      <c r="V72" s="111"/>
      <c r="W72" s="111"/>
      <c r="X72" s="111"/>
      <c r="Y72" s="140"/>
      <c r="Z72" s="140"/>
      <c r="AA72" s="140"/>
      <c r="AB72" s="140"/>
      <c r="AC72" s="25"/>
      <c r="AD72" s="25"/>
      <c r="AG72" s="9"/>
      <c r="AH72" s="9"/>
      <c r="AI72" s="9"/>
      <c r="AJ72" s="9"/>
      <c r="AK72" s="9"/>
      <c r="AL72" s="9"/>
      <c r="AM72" s="9"/>
      <c r="AN72" s="9"/>
      <c r="AO72" s="9"/>
      <c r="AP72" s="9"/>
      <c r="AQ72" s="9"/>
      <c r="AR72" s="9"/>
      <c r="AS72" s="9"/>
      <c r="AT72" s="9"/>
      <c r="AU72" s="9"/>
      <c r="AV72" s="9"/>
    </row>
    <row r="73" spans="1:48" x14ac:dyDescent="0.25">
      <c r="A73" s="140" t="s">
        <v>132</v>
      </c>
      <c r="B73" s="140" t="s">
        <v>90</v>
      </c>
      <c r="C73" s="140" t="s">
        <v>166</v>
      </c>
      <c r="D73" s="140" t="s">
        <v>49</v>
      </c>
      <c r="E73" s="140" t="s">
        <v>167</v>
      </c>
      <c r="F73" s="140" t="s">
        <v>132</v>
      </c>
      <c r="G73" s="140"/>
      <c r="H73" s="140" t="s">
        <v>168</v>
      </c>
      <c r="I73" s="140">
        <v>-633480</v>
      </c>
      <c r="J73" s="140"/>
      <c r="K73" s="140"/>
      <c r="L73" s="140"/>
      <c r="M73" s="140"/>
      <c r="N73" s="140"/>
      <c r="O73" s="111"/>
      <c r="P73" s="111"/>
      <c r="Q73" s="111"/>
      <c r="R73" s="111"/>
      <c r="S73" s="111">
        <v>-633480</v>
      </c>
      <c r="T73" s="111"/>
      <c r="U73" s="111"/>
      <c r="V73" s="111"/>
      <c r="W73" s="111"/>
      <c r="X73" s="111"/>
      <c r="Y73" s="140"/>
      <c r="Z73" s="140"/>
      <c r="AA73" s="140"/>
      <c r="AB73" s="140"/>
      <c r="AC73" s="25"/>
      <c r="AD73" s="25"/>
      <c r="AG73" s="9"/>
      <c r="AH73" s="9"/>
      <c r="AI73" s="9"/>
      <c r="AJ73" s="9"/>
      <c r="AK73" s="9"/>
      <c r="AL73" s="9"/>
      <c r="AM73" s="9"/>
      <c r="AN73" s="9"/>
      <c r="AO73" s="9"/>
      <c r="AP73" s="9"/>
      <c r="AQ73" s="9"/>
      <c r="AR73" s="9"/>
      <c r="AS73" s="9"/>
      <c r="AT73" s="9"/>
      <c r="AU73" s="9"/>
      <c r="AV73" s="9"/>
    </row>
    <row r="74" spans="1:48" x14ac:dyDescent="0.25">
      <c r="A74" s="150" t="s">
        <v>132</v>
      </c>
      <c r="B74" s="150" t="s">
        <v>172</v>
      </c>
      <c r="C74" s="150" t="s">
        <v>210</v>
      </c>
      <c r="D74" s="150" t="s">
        <v>49</v>
      </c>
      <c r="E74" s="150" t="s">
        <v>167</v>
      </c>
      <c r="F74" s="150" t="s">
        <v>113</v>
      </c>
      <c r="G74" s="150" t="s">
        <v>211</v>
      </c>
      <c r="H74" s="150" t="s">
        <v>212</v>
      </c>
      <c r="I74" s="150">
        <v>-105000</v>
      </c>
      <c r="J74" s="150"/>
      <c r="K74" s="150"/>
      <c r="L74" s="150"/>
      <c r="M74" s="150">
        <v>-105000</v>
      </c>
      <c r="N74" s="150"/>
      <c r="O74" s="111"/>
      <c r="P74" s="111"/>
      <c r="Q74" s="111"/>
      <c r="R74" s="111"/>
      <c r="S74" s="111"/>
      <c r="T74" s="111"/>
      <c r="U74" s="111"/>
      <c r="V74" s="111"/>
      <c r="W74" s="111"/>
      <c r="X74" s="111"/>
      <c r="Y74" s="150"/>
      <c r="Z74" s="150"/>
      <c r="AA74" s="150"/>
      <c r="AB74" s="150"/>
      <c r="AC74" s="25"/>
      <c r="AD74" s="25"/>
      <c r="AG74" s="9"/>
      <c r="AH74" s="9"/>
      <c r="AI74" s="9"/>
      <c r="AJ74" s="9"/>
      <c r="AK74" s="9"/>
      <c r="AL74" s="9"/>
      <c r="AM74" s="9"/>
      <c r="AN74" s="9"/>
      <c r="AO74" s="9"/>
      <c r="AP74" s="9"/>
      <c r="AQ74" s="9"/>
      <c r="AR74" s="9"/>
      <c r="AS74" s="9"/>
      <c r="AT74" s="9"/>
      <c r="AU74" s="9"/>
      <c r="AV74" s="9"/>
    </row>
    <row r="75" spans="1:48" x14ac:dyDescent="0.25">
      <c r="A75" s="150" t="s">
        <v>133</v>
      </c>
      <c r="B75" s="150" t="s">
        <v>103</v>
      </c>
      <c r="C75" s="150" t="s">
        <v>270</v>
      </c>
      <c r="D75" s="150" t="s">
        <v>170</v>
      </c>
      <c r="E75" s="150" t="s">
        <v>49</v>
      </c>
      <c r="F75" s="150" t="s">
        <v>134</v>
      </c>
      <c r="G75" s="150"/>
      <c r="H75" s="150" t="s">
        <v>207</v>
      </c>
      <c r="I75" s="150">
        <v>486888</v>
      </c>
      <c r="J75" s="150"/>
      <c r="K75" s="150"/>
      <c r="L75" s="150"/>
      <c r="M75" s="150"/>
      <c r="N75" s="150"/>
      <c r="O75" s="111"/>
      <c r="P75" s="111"/>
      <c r="Q75" s="111"/>
      <c r="R75" s="111"/>
      <c r="S75" s="111">
        <v>486888</v>
      </c>
      <c r="T75" s="111"/>
      <c r="U75" s="111"/>
      <c r="V75" s="111"/>
      <c r="W75" s="111"/>
      <c r="X75" s="111"/>
      <c r="Y75" s="150"/>
      <c r="Z75" s="150"/>
      <c r="AA75" s="150"/>
      <c r="AB75" s="150"/>
      <c r="AE75" s="68"/>
      <c r="AF75" s="68"/>
      <c r="AG75" s="9"/>
      <c r="AH75" s="9"/>
      <c r="AI75" s="9"/>
      <c r="AJ75" s="9"/>
      <c r="AK75" s="9"/>
      <c r="AL75" s="9"/>
      <c r="AM75" s="9"/>
      <c r="AN75" s="9"/>
      <c r="AO75" s="9"/>
      <c r="AP75" s="9"/>
      <c r="AQ75" s="9"/>
      <c r="AR75" s="9"/>
      <c r="AS75" s="9"/>
      <c r="AT75" s="9"/>
      <c r="AU75" s="9"/>
      <c r="AV75" s="9"/>
    </row>
    <row r="76" spans="1:48" x14ac:dyDescent="0.25">
      <c r="A76" s="150" t="s">
        <v>133</v>
      </c>
      <c r="B76" s="150" t="s">
        <v>90</v>
      </c>
      <c r="C76" s="150" t="s">
        <v>127</v>
      </c>
      <c r="D76" s="150" t="s">
        <v>49</v>
      </c>
      <c r="E76" s="150" t="s">
        <v>128</v>
      </c>
      <c r="F76" s="150" t="s">
        <v>133</v>
      </c>
      <c r="G76" s="150"/>
      <c r="H76" s="150" t="s">
        <v>130</v>
      </c>
      <c r="I76" s="150">
        <v>-480698</v>
      </c>
      <c r="J76" s="150"/>
      <c r="K76" s="150"/>
      <c r="L76" s="150"/>
      <c r="M76" s="150"/>
      <c r="N76" s="150"/>
      <c r="O76" s="111"/>
      <c r="P76" s="111"/>
      <c r="Q76" s="111"/>
      <c r="R76" s="111"/>
      <c r="S76" s="111">
        <v>-480698</v>
      </c>
      <c r="T76" s="111"/>
      <c r="U76" s="111"/>
      <c r="V76" s="111"/>
      <c r="W76" s="111"/>
      <c r="X76" s="111"/>
      <c r="Y76" s="150"/>
      <c r="Z76" s="150"/>
      <c r="AA76" s="150"/>
      <c r="AB76" s="150"/>
      <c r="AE76" s="68"/>
      <c r="AF76" s="68"/>
      <c r="AG76" s="9"/>
      <c r="AH76" s="9"/>
      <c r="AI76" s="9"/>
      <c r="AJ76" s="9"/>
      <c r="AK76" s="9"/>
      <c r="AL76" s="9"/>
      <c r="AM76" s="9"/>
      <c r="AN76" s="9"/>
      <c r="AO76" s="9"/>
      <c r="AP76" s="9"/>
      <c r="AQ76" s="9"/>
      <c r="AR76" s="9"/>
      <c r="AS76" s="9"/>
      <c r="AT76" s="9"/>
      <c r="AU76" s="9"/>
      <c r="AV76" s="9"/>
    </row>
    <row r="77" spans="1:48" x14ac:dyDescent="0.25">
      <c r="A77" s="150" t="s">
        <v>133</v>
      </c>
      <c r="B77" s="150" t="s">
        <v>90</v>
      </c>
      <c r="C77" s="150" t="s">
        <v>205</v>
      </c>
      <c r="D77" s="150" t="s">
        <v>49</v>
      </c>
      <c r="E77" s="150" t="s">
        <v>167</v>
      </c>
      <c r="F77" s="150" t="s">
        <v>133</v>
      </c>
      <c r="G77" s="150"/>
      <c r="H77" s="150" t="s">
        <v>168</v>
      </c>
      <c r="I77" s="150">
        <v>-25000</v>
      </c>
      <c r="J77" s="150"/>
      <c r="K77" s="150"/>
      <c r="L77" s="150"/>
      <c r="M77" s="150"/>
      <c r="N77" s="150"/>
      <c r="O77" s="111"/>
      <c r="P77" s="111"/>
      <c r="Q77" s="111"/>
      <c r="R77" s="111"/>
      <c r="S77" s="111">
        <v>-25000</v>
      </c>
      <c r="T77" s="111"/>
      <c r="U77" s="111"/>
      <c r="V77" s="111"/>
      <c r="W77" s="111"/>
      <c r="X77" s="111"/>
      <c r="Y77" s="150"/>
      <c r="Z77" s="150"/>
      <c r="AA77" s="150"/>
      <c r="AB77" s="150"/>
      <c r="AE77" s="68"/>
      <c r="AF77" s="68"/>
      <c r="AG77" s="9"/>
      <c r="AH77" s="9"/>
      <c r="AI77" s="9"/>
      <c r="AJ77" s="9"/>
      <c r="AK77" s="9"/>
      <c r="AL77" s="9"/>
      <c r="AM77" s="9"/>
      <c r="AN77" s="9"/>
      <c r="AO77" s="9"/>
      <c r="AP77" s="9"/>
      <c r="AQ77" s="9"/>
      <c r="AR77" s="9"/>
      <c r="AS77" s="9"/>
      <c r="AT77" s="9"/>
      <c r="AU77" s="9"/>
      <c r="AV77" s="9"/>
    </row>
    <row r="78" spans="1:48" x14ac:dyDescent="0.25">
      <c r="A78" s="150" t="s">
        <v>133</v>
      </c>
      <c r="B78" s="150" t="s">
        <v>90</v>
      </c>
      <c r="C78" s="150" t="s">
        <v>169</v>
      </c>
      <c r="D78" s="150" t="s">
        <v>49</v>
      </c>
      <c r="E78" s="150" t="s">
        <v>170</v>
      </c>
      <c r="F78" s="150" t="s">
        <v>133</v>
      </c>
      <c r="G78" s="150"/>
      <c r="H78" s="150" t="s">
        <v>171</v>
      </c>
      <c r="I78" s="150">
        <v>-473063</v>
      </c>
      <c r="J78" s="150"/>
      <c r="K78" s="150"/>
      <c r="L78" s="150"/>
      <c r="M78" s="150"/>
      <c r="N78" s="150"/>
      <c r="O78" s="111"/>
      <c r="P78" s="111"/>
      <c r="Q78" s="111"/>
      <c r="R78" s="111"/>
      <c r="S78" s="111">
        <v>-473063</v>
      </c>
      <c r="T78" s="111"/>
      <c r="U78" s="111"/>
      <c r="V78" s="111"/>
      <c r="W78" s="111"/>
      <c r="X78" s="111"/>
      <c r="Y78" s="150"/>
      <c r="Z78" s="150"/>
      <c r="AA78" s="150"/>
      <c r="AB78" s="150"/>
      <c r="AE78" s="68"/>
      <c r="AF78" s="68"/>
      <c r="AG78" s="9"/>
      <c r="AH78" s="9"/>
      <c r="AI78" s="9"/>
      <c r="AJ78" s="9"/>
      <c r="AK78" s="9"/>
      <c r="AL78" s="9"/>
      <c r="AM78" s="9"/>
      <c r="AN78" s="9"/>
      <c r="AO78" s="9"/>
      <c r="AP78" s="9"/>
      <c r="AQ78" s="9"/>
      <c r="AR78" s="9"/>
      <c r="AS78" s="9"/>
      <c r="AT78" s="9"/>
      <c r="AU78" s="9"/>
      <c r="AV78" s="9"/>
    </row>
    <row r="79" spans="1:48" x14ac:dyDescent="0.25">
      <c r="A79" s="150" t="s">
        <v>133</v>
      </c>
      <c r="B79" s="150" t="s">
        <v>91</v>
      </c>
      <c r="C79" s="150" t="s">
        <v>226</v>
      </c>
      <c r="D79" s="150" t="s">
        <v>112</v>
      </c>
      <c r="E79" s="150" t="s">
        <v>49</v>
      </c>
      <c r="F79" s="150" t="s">
        <v>134</v>
      </c>
      <c r="G79" s="150"/>
      <c r="H79" s="150" t="s">
        <v>227</v>
      </c>
      <c r="I79" s="150">
        <v>776983</v>
      </c>
      <c r="J79" s="150"/>
      <c r="K79" s="150"/>
      <c r="L79" s="150"/>
      <c r="M79" s="150">
        <v>776983</v>
      </c>
      <c r="N79" s="150"/>
      <c r="O79" s="111"/>
      <c r="P79" s="111"/>
      <c r="Q79" s="111"/>
      <c r="R79" s="111"/>
      <c r="S79" s="111"/>
      <c r="T79" s="111"/>
      <c r="U79" s="111"/>
      <c r="V79" s="111"/>
      <c r="W79" s="111"/>
      <c r="X79" s="111"/>
      <c r="Y79" s="150"/>
      <c r="Z79" s="150"/>
      <c r="AA79" s="150"/>
      <c r="AB79" s="150"/>
      <c r="AE79" s="68"/>
      <c r="AF79" s="68"/>
      <c r="AG79" s="9"/>
      <c r="AH79" s="9"/>
      <c r="AI79" s="9"/>
      <c r="AJ79" s="9"/>
      <c r="AK79" s="9"/>
      <c r="AL79" s="9"/>
      <c r="AM79" s="9"/>
      <c r="AN79" s="9"/>
      <c r="AO79" s="9"/>
      <c r="AP79" s="9"/>
      <c r="AQ79" s="9"/>
      <c r="AR79" s="9"/>
      <c r="AS79" s="9"/>
      <c r="AT79" s="9"/>
      <c r="AU79" s="9"/>
      <c r="AV79" s="9"/>
    </row>
    <row r="80" spans="1:48" x14ac:dyDescent="0.25">
      <c r="A80" s="150" t="s">
        <v>134</v>
      </c>
      <c r="B80" s="150" t="s">
        <v>90</v>
      </c>
      <c r="C80" s="150" t="s">
        <v>127</v>
      </c>
      <c r="D80" s="150" t="s">
        <v>49</v>
      </c>
      <c r="E80" s="150" t="s">
        <v>128</v>
      </c>
      <c r="F80" s="150" t="s">
        <v>134</v>
      </c>
      <c r="G80" s="150"/>
      <c r="H80" s="150" t="s">
        <v>130</v>
      </c>
      <c r="I80" s="150">
        <v>-571500</v>
      </c>
      <c r="J80" s="150"/>
      <c r="K80" s="150"/>
      <c r="L80" s="150"/>
      <c r="M80" s="150"/>
      <c r="N80" s="150"/>
      <c r="O80" s="111"/>
      <c r="P80" s="111"/>
      <c r="Q80" s="111"/>
      <c r="R80" s="111"/>
      <c r="S80" s="111">
        <v>-571500</v>
      </c>
      <c r="T80" s="111"/>
      <c r="U80" s="111"/>
      <c r="V80" s="111"/>
      <c r="W80" s="111"/>
      <c r="X80" s="111"/>
      <c r="Y80" s="150"/>
      <c r="Z80" s="150"/>
      <c r="AA80" s="150"/>
      <c r="AB80" s="150"/>
      <c r="AE80" s="68"/>
      <c r="AF80" s="68"/>
      <c r="AG80" s="9"/>
      <c r="AH80" s="9"/>
      <c r="AI80" s="9"/>
      <c r="AJ80" s="9"/>
      <c r="AK80" s="9"/>
      <c r="AL80" s="9"/>
      <c r="AM80" s="9"/>
      <c r="AN80" s="9"/>
      <c r="AO80" s="9"/>
      <c r="AP80" s="9"/>
      <c r="AQ80" s="9"/>
      <c r="AR80" s="9"/>
      <c r="AS80" s="9"/>
      <c r="AT80" s="9"/>
      <c r="AU80" s="9"/>
      <c r="AV80" s="9"/>
    </row>
    <row r="81" spans="1:48" x14ac:dyDescent="0.25">
      <c r="A81" s="150" t="s">
        <v>134</v>
      </c>
      <c r="B81" s="150" t="s">
        <v>90</v>
      </c>
      <c r="C81" s="150" t="s">
        <v>206</v>
      </c>
      <c r="D81" s="150" t="s">
        <v>49</v>
      </c>
      <c r="E81" s="150" t="s">
        <v>170</v>
      </c>
      <c r="F81" s="150" t="s">
        <v>134</v>
      </c>
      <c r="G81" s="150"/>
      <c r="H81" s="150" t="s">
        <v>207</v>
      </c>
      <c r="I81" s="150">
        <v>-1212842</v>
      </c>
      <c r="J81" s="150"/>
      <c r="K81" s="150"/>
      <c r="L81" s="150"/>
      <c r="M81" s="150"/>
      <c r="N81" s="150"/>
      <c r="O81" s="111"/>
      <c r="P81" s="111"/>
      <c r="Q81" s="111"/>
      <c r="R81" s="111"/>
      <c r="S81" s="111">
        <v>-1212842</v>
      </c>
      <c r="T81" s="111"/>
      <c r="U81" s="111"/>
      <c r="V81" s="111"/>
      <c r="W81" s="111"/>
      <c r="X81" s="111"/>
      <c r="Y81" s="150"/>
      <c r="Z81" s="150"/>
      <c r="AA81" s="150"/>
      <c r="AB81" s="150"/>
      <c r="AE81" s="68"/>
      <c r="AF81" s="68"/>
      <c r="AG81" s="9"/>
      <c r="AH81" s="9"/>
      <c r="AI81" s="9"/>
      <c r="AJ81" s="9"/>
      <c r="AK81" s="9"/>
      <c r="AL81" s="9"/>
      <c r="AM81" s="9"/>
      <c r="AN81" s="9"/>
      <c r="AO81" s="9"/>
      <c r="AP81" s="9"/>
      <c r="AQ81" s="9"/>
      <c r="AR81" s="9"/>
      <c r="AS81" s="9"/>
      <c r="AT81" s="9"/>
      <c r="AU81" s="9"/>
      <c r="AV81" s="9"/>
    </row>
    <row r="82" spans="1:48" x14ac:dyDescent="0.25">
      <c r="A82" s="111" t="s">
        <v>134</v>
      </c>
      <c r="B82" s="111" t="s">
        <v>90</v>
      </c>
      <c r="C82" s="111" t="s">
        <v>208</v>
      </c>
      <c r="D82" s="111" t="s">
        <v>49</v>
      </c>
      <c r="E82" s="111" t="s">
        <v>170</v>
      </c>
      <c r="F82" s="111" t="s">
        <v>134</v>
      </c>
      <c r="G82" s="111"/>
      <c r="H82" s="111" t="s">
        <v>209</v>
      </c>
      <c r="I82" s="111">
        <v>-560000</v>
      </c>
      <c r="J82" s="111"/>
      <c r="K82" s="111"/>
      <c r="L82" s="111"/>
      <c r="M82" s="111"/>
      <c r="N82" s="111"/>
      <c r="O82" s="111"/>
      <c r="P82" s="111"/>
      <c r="Q82" s="111"/>
      <c r="R82" s="111"/>
      <c r="S82" s="111">
        <v>-560000</v>
      </c>
      <c r="T82" s="111"/>
      <c r="U82" s="111"/>
      <c r="V82" s="111"/>
      <c r="W82" s="111"/>
      <c r="X82" s="111"/>
      <c r="Y82" s="150"/>
      <c r="Z82" s="150"/>
      <c r="AA82" s="150"/>
      <c r="AB82" s="150"/>
      <c r="AE82" s="68"/>
      <c r="AF82" s="68"/>
      <c r="AG82" s="9"/>
      <c r="AH82" s="9"/>
      <c r="AI82" s="9"/>
      <c r="AJ82" s="9"/>
      <c r="AK82" s="9"/>
      <c r="AL82" s="9"/>
      <c r="AM82" s="9"/>
      <c r="AN82" s="9"/>
      <c r="AO82" s="9"/>
      <c r="AP82" s="9"/>
      <c r="AQ82" s="9"/>
      <c r="AR82" s="9"/>
      <c r="AS82" s="9"/>
      <c r="AT82" s="9"/>
      <c r="AU82" s="9"/>
      <c r="AV82" s="9"/>
    </row>
    <row r="83" spans="1:48" x14ac:dyDescent="0.25">
      <c r="A83" s="111" t="s">
        <v>134</v>
      </c>
      <c r="B83" s="111" t="s">
        <v>90</v>
      </c>
      <c r="C83" s="111" t="s">
        <v>270</v>
      </c>
      <c r="D83" s="111" t="s">
        <v>49</v>
      </c>
      <c r="E83" s="111" t="s">
        <v>170</v>
      </c>
      <c r="F83" s="111" t="s">
        <v>134</v>
      </c>
      <c r="G83" s="111"/>
      <c r="H83" s="111" t="s">
        <v>207</v>
      </c>
      <c r="I83" s="111">
        <v>-486888</v>
      </c>
      <c r="J83" s="111"/>
      <c r="K83" s="111"/>
      <c r="L83" s="111"/>
      <c r="M83" s="111"/>
      <c r="N83" s="111"/>
      <c r="O83" s="111"/>
      <c r="P83" s="111"/>
      <c r="Q83" s="111"/>
      <c r="R83" s="111"/>
      <c r="S83" s="111">
        <v>-486888</v>
      </c>
      <c r="T83" s="111"/>
      <c r="U83" s="111"/>
      <c r="V83" s="111"/>
      <c r="W83" s="111"/>
      <c r="X83" s="111"/>
      <c r="Y83" s="150"/>
      <c r="Z83" s="150"/>
      <c r="AA83" s="150"/>
      <c r="AB83" s="150"/>
      <c r="AE83" s="68"/>
      <c r="AF83" s="68"/>
      <c r="AG83" s="9"/>
      <c r="AH83" s="9"/>
      <c r="AI83" s="9"/>
      <c r="AJ83" s="9"/>
      <c r="AK83" s="9"/>
      <c r="AL83" s="9"/>
      <c r="AM83" s="9"/>
      <c r="AN83" s="9"/>
      <c r="AO83" s="9"/>
      <c r="AP83" s="9"/>
      <c r="AQ83" s="9"/>
      <c r="AR83" s="9"/>
      <c r="AS83" s="9"/>
      <c r="AT83" s="9"/>
      <c r="AU83" s="9"/>
      <c r="AV83" s="9"/>
    </row>
    <row r="84" spans="1:48" x14ac:dyDescent="0.25">
      <c r="A84" s="111" t="s">
        <v>134</v>
      </c>
      <c r="B84" s="111" t="s">
        <v>172</v>
      </c>
      <c r="C84" s="111" t="s">
        <v>228</v>
      </c>
      <c r="D84" s="111" t="s">
        <v>49</v>
      </c>
      <c r="E84" s="111" t="s">
        <v>112</v>
      </c>
      <c r="F84" s="111" t="s">
        <v>134</v>
      </c>
      <c r="G84" s="111"/>
      <c r="H84" s="111" t="s">
        <v>227</v>
      </c>
      <c r="I84" s="111">
        <v>-776983</v>
      </c>
      <c r="J84" s="111"/>
      <c r="K84" s="111"/>
      <c r="L84" s="111"/>
      <c r="M84" s="111"/>
      <c r="N84" s="111"/>
      <c r="O84" s="111"/>
      <c r="P84" s="111"/>
      <c r="Q84" s="111"/>
      <c r="R84" s="111"/>
      <c r="S84" s="111">
        <v>-776983</v>
      </c>
      <c r="T84" s="111"/>
      <c r="U84" s="111"/>
      <c r="V84" s="111"/>
      <c r="W84" s="111"/>
      <c r="X84" s="111"/>
      <c r="Y84" s="150"/>
      <c r="Z84" s="150"/>
      <c r="AA84" s="150"/>
      <c r="AB84" s="150"/>
      <c r="AE84" s="68"/>
      <c r="AF84" s="68"/>
      <c r="AG84" s="9"/>
      <c r="AH84" s="9"/>
      <c r="AI84" s="9"/>
      <c r="AJ84" s="9"/>
      <c r="AK84" s="9"/>
      <c r="AL84" s="9"/>
      <c r="AM84" s="9"/>
      <c r="AN84" s="9"/>
      <c r="AO84" s="9"/>
      <c r="AP84" s="9"/>
      <c r="AQ84" s="9"/>
      <c r="AR84" s="9"/>
      <c r="AS84" s="9"/>
      <c r="AT84" s="9"/>
      <c r="AU84" s="9"/>
      <c r="AV84" s="9"/>
    </row>
    <row r="85" spans="1:48" x14ac:dyDescent="0.25">
      <c r="A85" s="111" t="s">
        <v>220</v>
      </c>
      <c r="B85" s="111" t="s">
        <v>90</v>
      </c>
      <c r="C85" s="111" t="s">
        <v>205</v>
      </c>
      <c r="D85" s="111" t="s">
        <v>49</v>
      </c>
      <c r="E85" s="111" t="s">
        <v>167</v>
      </c>
      <c r="F85" s="111" t="s">
        <v>220</v>
      </c>
      <c r="G85" s="111"/>
      <c r="H85" s="111" t="s">
        <v>168</v>
      </c>
      <c r="I85" s="111">
        <v>-171124</v>
      </c>
      <c r="J85" s="111"/>
      <c r="K85" s="111"/>
      <c r="L85" s="111"/>
      <c r="M85" s="111"/>
      <c r="N85" s="111"/>
      <c r="O85" s="111"/>
      <c r="P85" s="111"/>
      <c r="Q85" s="111"/>
      <c r="R85" s="111"/>
      <c r="S85" s="111">
        <v>-171124</v>
      </c>
      <c r="T85" s="111"/>
      <c r="U85" s="111"/>
      <c r="V85" s="111"/>
      <c r="W85" s="111"/>
      <c r="X85" s="111"/>
      <c r="Y85" s="150"/>
      <c r="Z85" s="150"/>
      <c r="AA85" s="150"/>
      <c r="AB85" s="150"/>
      <c r="AE85" s="68"/>
      <c r="AF85" s="68"/>
      <c r="AG85" s="9"/>
      <c r="AH85" s="9"/>
      <c r="AI85" s="9"/>
      <c r="AJ85" s="9"/>
      <c r="AK85" s="9"/>
      <c r="AL85" s="9"/>
      <c r="AM85" s="9"/>
      <c r="AN85" s="9"/>
      <c r="AO85" s="9"/>
      <c r="AP85" s="9"/>
      <c r="AQ85" s="9"/>
      <c r="AR85" s="9"/>
      <c r="AS85" s="9"/>
      <c r="AT85" s="9"/>
      <c r="AU85" s="9"/>
      <c r="AV85" s="9"/>
    </row>
    <row r="86" spans="1:48" x14ac:dyDescent="0.25">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50"/>
      <c r="Z86" s="150"/>
      <c r="AA86" s="150"/>
      <c r="AB86" s="150"/>
      <c r="AC86" s="25"/>
      <c r="AD86" s="25"/>
      <c r="AG86" s="9"/>
      <c r="AH86" s="9"/>
      <c r="AI86" s="9"/>
      <c r="AJ86" s="9"/>
      <c r="AK86" s="9"/>
      <c r="AL86" s="9"/>
      <c r="AM86" s="9"/>
      <c r="AN86" s="9"/>
      <c r="AO86" s="9"/>
      <c r="AP86" s="9"/>
      <c r="AQ86" s="9"/>
      <c r="AR86" s="9"/>
      <c r="AS86" s="9"/>
      <c r="AT86" s="9"/>
      <c r="AU86" s="9"/>
      <c r="AV86" s="9"/>
    </row>
    <row r="87" spans="1:48" x14ac:dyDescent="0.25">
      <c r="A87" s="66" t="s">
        <v>135</v>
      </c>
      <c r="AS87" s="9"/>
      <c r="AT87" s="9"/>
      <c r="AU87" s="9"/>
      <c r="AV87" s="9"/>
    </row>
    <row r="89" spans="1:48" x14ac:dyDescent="0.25">
      <c r="A89" s="68" t="s">
        <v>136</v>
      </c>
      <c r="B89" s="69" t="s">
        <v>137</v>
      </c>
      <c r="C89" s="68" t="s">
        <v>138</v>
      </c>
      <c r="D89" s="68" t="s">
        <v>145</v>
      </c>
      <c r="E89" s="68" t="s">
        <v>139</v>
      </c>
      <c r="F89" s="67" t="s">
        <v>96</v>
      </c>
      <c r="H89" s="25"/>
      <c r="AU89" s="9"/>
      <c r="AV89" s="9"/>
    </row>
    <row r="90" spans="1:48" x14ac:dyDescent="0.25">
      <c r="A90" s="68" t="s">
        <v>140</v>
      </c>
      <c r="B90" s="69" t="s">
        <v>131</v>
      </c>
      <c r="C90" s="68" t="s">
        <v>141</v>
      </c>
      <c r="D90" s="120">
        <v>58100</v>
      </c>
      <c r="E90" s="120">
        <v>58100</v>
      </c>
      <c r="F90" s="119" t="s">
        <v>159</v>
      </c>
      <c r="H90" s="25"/>
      <c r="AU90" s="9"/>
      <c r="AV90" s="9"/>
    </row>
    <row r="91" spans="1:48" x14ac:dyDescent="0.25">
      <c r="A91" s="68" t="s">
        <v>142</v>
      </c>
      <c r="B91" s="69" t="s">
        <v>131</v>
      </c>
      <c r="C91" s="68" t="s">
        <v>141</v>
      </c>
      <c r="D91" s="120">
        <v>101500</v>
      </c>
      <c r="E91" s="120">
        <v>101500</v>
      </c>
      <c r="F91" s="119" t="s">
        <v>159</v>
      </c>
      <c r="H91" s="25"/>
      <c r="AU91" s="9"/>
      <c r="AV91" s="9"/>
    </row>
    <row r="92" spans="1:48" x14ac:dyDescent="0.25">
      <c r="A92" s="68" t="s">
        <v>143</v>
      </c>
      <c r="B92" s="69" t="s">
        <v>131</v>
      </c>
      <c r="C92" s="68" t="s">
        <v>141</v>
      </c>
      <c r="D92" s="120"/>
      <c r="E92" s="120">
        <v>82100</v>
      </c>
      <c r="F92" s="119" t="s">
        <v>159</v>
      </c>
      <c r="H92" s="25"/>
      <c r="AU92" s="9"/>
      <c r="AV92" s="9"/>
    </row>
    <row r="93" spans="1:48" x14ac:dyDescent="0.25">
      <c r="A93" s="68" t="s">
        <v>140</v>
      </c>
      <c r="B93" s="69" t="s">
        <v>131</v>
      </c>
      <c r="C93" s="68" t="s">
        <v>144</v>
      </c>
      <c r="D93" s="120">
        <f>3020949.39-58100-58100</f>
        <v>2904749.39</v>
      </c>
      <c r="E93" s="120">
        <v>2905000</v>
      </c>
      <c r="F93" s="119" t="s">
        <v>161</v>
      </c>
      <c r="H93" s="25"/>
      <c r="AU93" s="9"/>
      <c r="AV93" s="9"/>
    </row>
    <row r="94" spans="1:48" x14ac:dyDescent="0.25">
      <c r="A94" s="68" t="s">
        <v>140</v>
      </c>
      <c r="B94" s="69" t="s">
        <v>131</v>
      </c>
      <c r="C94" s="68" t="s">
        <v>141</v>
      </c>
      <c r="D94" s="120">
        <v>58100</v>
      </c>
      <c r="E94" s="120">
        <v>58100</v>
      </c>
      <c r="F94" s="119" t="s">
        <v>160</v>
      </c>
      <c r="H94" s="25"/>
      <c r="AU94" s="9"/>
      <c r="AV94" s="9"/>
    </row>
    <row r="95" spans="1:48" x14ac:dyDescent="0.25">
      <c r="A95" s="68" t="s">
        <v>142</v>
      </c>
      <c r="B95" s="69" t="s">
        <v>131</v>
      </c>
      <c r="C95" s="68" t="s">
        <v>141</v>
      </c>
      <c r="D95" s="120">
        <f>437505.29-101500-101500</f>
        <v>234505.28999999998</v>
      </c>
      <c r="E95" s="120">
        <v>5075000</v>
      </c>
      <c r="F95" s="119" t="s">
        <v>161</v>
      </c>
      <c r="H95" s="25"/>
      <c r="AU95" s="9"/>
      <c r="AV95" s="9"/>
    </row>
    <row r="96" spans="1:48" x14ac:dyDescent="0.25">
      <c r="A96" s="68" t="s">
        <v>142</v>
      </c>
      <c r="B96" s="69" t="s">
        <v>131</v>
      </c>
      <c r="C96" s="68" t="s">
        <v>141</v>
      </c>
      <c r="D96" s="120">
        <v>101500</v>
      </c>
      <c r="E96" s="120">
        <v>101500</v>
      </c>
      <c r="F96" s="119" t="s">
        <v>160</v>
      </c>
      <c r="H96" s="25"/>
      <c r="AU96" s="9"/>
      <c r="AV96" s="9"/>
    </row>
    <row r="97" spans="1:48" x14ac:dyDescent="0.25">
      <c r="A97" s="68" t="s">
        <v>143</v>
      </c>
      <c r="B97" s="69" t="s">
        <v>131</v>
      </c>
      <c r="C97" s="68" t="s">
        <v>141</v>
      </c>
      <c r="D97" s="120"/>
      <c r="E97" s="120">
        <v>4105000</v>
      </c>
      <c r="F97" s="119" t="s">
        <v>161</v>
      </c>
      <c r="H97" s="25"/>
      <c r="AU97" s="9"/>
      <c r="AV97" s="9"/>
    </row>
    <row r="98" spans="1:48" x14ac:dyDescent="0.25">
      <c r="A98" s="68" t="s">
        <v>143</v>
      </c>
      <c r="B98" s="69" t="s">
        <v>131</v>
      </c>
      <c r="C98" s="68" t="s">
        <v>141</v>
      </c>
      <c r="D98" s="120"/>
      <c r="E98" s="120">
        <v>82100</v>
      </c>
      <c r="F98" s="119" t="s">
        <v>160</v>
      </c>
      <c r="H98" s="25"/>
      <c r="AU98" s="9"/>
      <c r="AV98" s="9"/>
    </row>
    <row r="99" spans="1:48" x14ac:dyDescent="0.25">
      <c r="A99" s="68" t="s">
        <v>10</v>
      </c>
      <c r="B99" s="68"/>
      <c r="C99" s="68"/>
      <c r="D99" s="68">
        <f>SUBTOTAL(109,D90:D98)</f>
        <v>3458454.68</v>
      </c>
      <c r="E99" s="68">
        <f>SUBTOTAL(109,E90:E98)</f>
        <v>12568400</v>
      </c>
      <c r="F99" s="68"/>
      <c r="H99" s="25"/>
      <c r="AU99" s="9"/>
      <c r="AV99" s="9"/>
    </row>
  </sheetData>
  <mergeCells count="5">
    <mergeCell ref="A1:F1"/>
    <mergeCell ref="A3:F3"/>
    <mergeCell ref="A9:G9"/>
    <mergeCell ref="A51:G51"/>
    <mergeCell ref="A7:H7"/>
  </mergeCells>
  <pageMargins left="0.7" right="0.7" top="0.75" bottom="0.75" header="0.3" footer="0.3"/>
  <pageSetup paperSize="17" scale="76"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21" t="s">
        <v>14</v>
      </c>
      <c r="C1" s="221"/>
      <c r="D1" s="221"/>
      <c r="E1" s="221"/>
    </row>
    <row r="2" spans="1:5" ht="81.75" customHeight="1" x14ac:dyDescent="0.35">
      <c r="A2" s="1">
        <v>1</v>
      </c>
      <c r="B2" s="222" t="s">
        <v>16</v>
      </c>
      <c r="C2" s="222"/>
      <c r="D2" s="222"/>
      <c r="E2" s="222"/>
    </row>
    <row r="3" spans="1:5" ht="14.45" x14ac:dyDescent="0.35">
      <c r="B3" s="3"/>
      <c r="C3" s="3"/>
      <c r="D3" s="3"/>
      <c r="E3" s="3"/>
    </row>
    <row r="4" spans="1:5" ht="33" customHeight="1" x14ac:dyDescent="0.35">
      <c r="A4" s="1">
        <v>2</v>
      </c>
      <c r="B4" s="222" t="s">
        <v>17</v>
      </c>
      <c r="C4" s="222"/>
      <c r="D4" s="222"/>
      <c r="E4" s="222"/>
    </row>
    <row r="5" spans="1:5" x14ac:dyDescent="0.25">
      <c r="B5" s="3"/>
      <c r="C5" s="3"/>
      <c r="D5" s="3"/>
      <c r="E5" s="3"/>
    </row>
    <row r="6" spans="1:5" s="17" customFormat="1" ht="114" customHeight="1" x14ac:dyDescent="0.25">
      <c r="A6" s="18">
        <v>3</v>
      </c>
      <c r="B6" s="230" t="s">
        <v>68</v>
      </c>
      <c r="C6" s="230"/>
      <c r="D6" s="230"/>
      <c r="E6" s="230"/>
    </row>
    <row r="7" spans="1:5" s="17" customFormat="1" x14ac:dyDescent="0.25">
      <c r="A7" s="18"/>
      <c r="B7" s="19"/>
      <c r="C7" s="19"/>
      <c r="D7" s="19"/>
      <c r="E7" s="19"/>
    </row>
    <row r="8" spans="1:5" s="121" customFormat="1" ht="18" customHeight="1" x14ac:dyDescent="0.25">
      <c r="A8" s="18">
        <v>4</v>
      </c>
      <c r="B8" s="225" t="s">
        <v>60</v>
      </c>
      <c r="C8" s="225"/>
      <c r="D8" s="8"/>
      <c r="E8" s="8"/>
    </row>
    <row r="9" spans="1:5" s="121" customFormat="1" ht="18" customHeight="1" x14ac:dyDescent="0.25">
      <c r="A9" s="18"/>
      <c r="B9" s="224" t="s">
        <v>242</v>
      </c>
      <c r="C9" s="224"/>
      <c r="D9" s="13">
        <v>1250000</v>
      </c>
    </row>
    <row r="10" spans="1:5" s="121" customFormat="1" ht="18" customHeight="1" x14ac:dyDescent="0.25">
      <c r="A10" s="18"/>
      <c r="B10" s="222" t="s">
        <v>243</v>
      </c>
      <c r="C10" s="222"/>
      <c r="D10" s="12">
        <f>-187500-125000</f>
        <v>-312500</v>
      </c>
    </row>
    <row r="11" spans="1:5" s="121" customFormat="1" ht="18" customHeight="1" x14ac:dyDescent="0.25">
      <c r="A11" s="18"/>
      <c r="B11" s="224" t="s">
        <v>244</v>
      </c>
      <c r="C11" s="224"/>
      <c r="D11" s="14">
        <f>+D9+D10</f>
        <v>937500</v>
      </c>
    </row>
    <row r="12" spans="1:5" s="121" customFormat="1" ht="31.5" customHeight="1" x14ac:dyDescent="0.25">
      <c r="A12" s="18"/>
      <c r="B12" s="222" t="s">
        <v>245</v>
      </c>
      <c r="C12" s="222"/>
      <c r="D12" s="11">
        <f>1250000*0.25</f>
        <v>312500</v>
      </c>
    </row>
    <row r="13" spans="1:5" s="121" customFormat="1" ht="36.75" customHeight="1" x14ac:dyDescent="0.25">
      <c r="A13" s="18"/>
      <c r="B13" s="224" t="s">
        <v>246</v>
      </c>
      <c r="C13" s="224"/>
      <c r="D13" s="15">
        <f>SUM(D11:D12)</f>
        <v>1250000</v>
      </c>
    </row>
    <row r="14" spans="1:5" s="17" customFormat="1" ht="18" customHeight="1" x14ac:dyDescent="0.25">
      <c r="A14" s="18"/>
      <c r="B14" s="22"/>
      <c r="C14" s="22"/>
      <c r="D14" s="23"/>
    </row>
    <row r="15" spans="1:5" s="17" customFormat="1" ht="84.75" customHeight="1" x14ac:dyDescent="0.25">
      <c r="A15" s="1">
        <v>5</v>
      </c>
      <c r="B15" s="223" t="s">
        <v>61</v>
      </c>
      <c r="C15" s="223"/>
      <c r="D15" s="223"/>
      <c r="E15" s="223"/>
    </row>
    <row r="16" spans="1:5" x14ac:dyDescent="0.25">
      <c r="B16" s="3"/>
      <c r="C16" s="3"/>
      <c r="D16" s="3"/>
      <c r="E16" s="3"/>
    </row>
    <row r="17" spans="1:5" ht="14.45" customHeight="1" x14ac:dyDescent="0.25">
      <c r="A17" s="1">
        <v>6</v>
      </c>
      <c r="B17" s="222" t="s">
        <v>247</v>
      </c>
      <c r="C17" s="222"/>
      <c r="D17" s="222"/>
      <c r="E17" s="222"/>
    </row>
    <row r="18" spans="1:5" x14ac:dyDescent="0.25">
      <c r="B18" s="10"/>
      <c r="C18" s="10"/>
      <c r="D18" s="10"/>
      <c r="E18" s="10"/>
    </row>
    <row r="19" spans="1:5" ht="33" customHeight="1" x14ac:dyDescent="0.25">
      <c r="A19" s="1">
        <v>7</v>
      </c>
      <c r="B19" s="222" t="s">
        <v>38</v>
      </c>
      <c r="C19" s="222"/>
      <c r="D19" s="222"/>
      <c r="E19" s="222"/>
    </row>
    <row r="20" spans="1:5" ht="14.25" customHeight="1" x14ac:dyDescent="0.25">
      <c r="B20" s="7"/>
      <c r="C20" s="7"/>
      <c r="D20" s="7"/>
      <c r="E20" s="7"/>
    </row>
    <row r="21" spans="1:5" ht="47.25" customHeight="1" x14ac:dyDescent="0.25">
      <c r="A21" s="1">
        <v>8</v>
      </c>
      <c r="B21" s="222" t="s">
        <v>39</v>
      </c>
      <c r="C21" s="222"/>
      <c r="D21" s="222"/>
      <c r="E21" s="222"/>
    </row>
    <row r="22" spans="1:5" ht="15" customHeight="1" x14ac:dyDescent="0.25">
      <c r="B22" s="7"/>
      <c r="C22" s="7"/>
      <c r="D22" s="7"/>
      <c r="E22" s="7"/>
    </row>
    <row r="23" spans="1:5" ht="32.25" customHeight="1" x14ac:dyDescent="0.25">
      <c r="A23" s="1">
        <v>9</v>
      </c>
      <c r="B23" s="222" t="s">
        <v>37</v>
      </c>
      <c r="C23" s="222"/>
      <c r="D23" s="222"/>
      <c r="E23" s="222"/>
    </row>
    <row r="24" spans="1:5" ht="15" customHeight="1" x14ac:dyDescent="0.25">
      <c r="B24" s="7"/>
      <c r="C24" s="7"/>
      <c r="D24" s="7"/>
      <c r="E24" s="7"/>
    </row>
    <row r="25" spans="1:5" ht="33" customHeight="1" x14ac:dyDescent="0.25">
      <c r="A25" s="1">
        <v>10</v>
      </c>
      <c r="B25" s="222" t="s">
        <v>40</v>
      </c>
      <c r="C25" s="222"/>
      <c r="D25" s="222"/>
      <c r="E25" s="222"/>
    </row>
    <row r="26" spans="1:5" x14ac:dyDescent="0.25">
      <c r="B26" s="3"/>
      <c r="C26" s="3"/>
      <c r="D26" s="3"/>
      <c r="E26" s="3"/>
    </row>
    <row r="27" spans="1:5" ht="30" customHeight="1" x14ac:dyDescent="0.25">
      <c r="A27" s="1">
        <v>11</v>
      </c>
      <c r="B27" s="222" t="s">
        <v>41</v>
      </c>
      <c r="C27" s="222"/>
      <c r="D27" s="222"/>
      <c r="E27" s="222"/>
    </row>
    <row r="28" spans="1:5" x14ac:dyDescent="0.25">
      <c r="B28" s="3"/>
      <c r="C28" s="3"/>
      <c r="D28" s="3"/>
      <c r="E28" s="3"/>
    </row>
    <row r="29" spans="1:5" ht="31.5" customHeight="1" x14ac:dyDescent="0.25">
      <c r="A29" s="1">
        <v>12</v>
      </c>
      <c r="B29" s="222" t="s">
        <v>42</v>
      </c>
      <c r="C29" s="222"/>
      <c r="D29" s="222"/>
      <c r="E29" s="222"/>
    </row>
    <row r="30" spans="1:5" x14ac:dyDescent="0.25">
      <c r="B30" s="7"/>
      <c r="C30" s="7"/>
      <c r="D30" s="7"/>
      <c r="E30" s="7"/>
    </row>
    <row r="31" spans="1:5" ht="34.5" customHeight="1" x14ac:dyDescent="0.25">
      <c r="A31" s="1">
        <v>13</v>
      </c>
      <c r="B31" s="222" t="s">
        <v>18</v>
      </c>
      <c r="C31" s="222"/>
      <c r="D31" s="222"/>
      <c r="E31" s="222"/>
    </row>
    <row r="32" spans="1:5" ht="16.5" customHeight="1" x14ac:dyDescent="0.25">
      <c r="B32" s="3"/>
      <c r="C32" s="3"/>
      <c r="D32" s="3"/>
      <c r="E32" s="3"/>
    </row>
    <row r="33" spans="1:5" ht="64.5" customHeight="1" x14ac:dyDescent="0.25">
      <c r="A33" s="1">
        <v>14</v>
      </c>
      <c r="B33" s="222" t="s">
        <v>19</v>
      </c>
      <c r="C33" s="222"/>
      <c r="D33" s="222"/>
      <c r="E33" s="222"/>
    </row>
    <row r="34" spans="1:5" ht="14.25" customHeight="1" x14ac:dyDescent="0.25">
      <c r="B34" s="3"/>
      <c r="C34" s="3"/>
      <c r="D34" s="3"/>
      <c r="E34" s="3"/>
    </row>
    <row r="35" spans="1:5" x14ac:dyDescent="0.25">
      <c r="A35" s="1">
        <v>15</v>
      </c>
      <c r="B35" s="225" t="s">
        <v>34</v>
      </c>
      <c r="C35" s="225"/>
      <c r="D35" s="225"/>
      <c r="E35" s="225"/>
    </row>
    <row r="36" spans="1:5" x14ac:dyDescent="0.25">
      <c r="B36" s="16" t="s">
        <v>7</v>
      </c>
      <c r="C36" s="228" t="s">
        <v>20</v>
      </c>
      <c r="D36" s="228"/>
      <c r="E36" s="228"/>
    </row>
    <row r="37" spans="1:5" x14ac:dyDescent="0.25">
      <c r="B37" s="5" t="s">
        <v>21</v>
      </c>
      <c r="C37" s="229" t="s">
        <v>28</v>
      </c>
      <c r="D37" s="229"/>
      <c r="E37" s="229"/>
    </row>
    <row r="38" spans="1:5" x14ac:dyDescent="0.25">
      <c r="B38" s="16" t="s">
        <v>22</v>
      </c>
      <c r="C38" s="228" t="s">
        <v>29</v>
      </c>
      <c r="D38" s="228"/>
      <c r="E38" s="228"/>
    </row>
    <row r="39" spans="1:5" x14ac:dyDescent="0.25">
      <c r="B39" s="5" t="s">
        <v>23</v>
      </c>
      <c r="C39" s="229" t="s">
        <v>32</v>
      </c>
      <c r="D39" s="229"/>
      <c r="E39" s="229"/>
    </row>
    <row r="40" spans="1:5" x14ac:dyDescent="0.25">
      <c r="B40" s="16" t="s">
        <v>9</v>
      </c>
      <c r="C40" s="228" t="s">
        <v>30</v>
      </c>
      <c r="D40" s="228"/>
      <c r="E40" s="228"/>
    </row>
    <row r="41" spans="1:5" x14ac:dyDescent="0.25">
      <c r="B41" s="5" t="s">
        <v>8</v>
      </c>
      <c r="C41" s="229" t="s">
        <v>24</v>
      </c>
      <c r="D41" s="229"/>
      <c r="E41" s="229"/>
    </row>
    <row r="42" spans="1:5" x14ac:dyDescent="0.25">
      <c r="B42" s="16" t="s">
        <v>25</v>
      </c>
      <c r="C42" s="228" t="s">
        <v>26</v>
      </c>
      <c r="D42" s="228"/>
      <c r="E42" s="228"/>
    </row>
    <row r="43" spans="1:5" x14ac:dyDescent="0.25">
      <c r="B43" s="5" t="s">
        <v>27</v>
      </c>
      <c r="C43" s="229" t="s">
        <v>31</v>
      </c>
      <c r="D43" s="229"/>
      <c r="E43" s="229"/>
    </row>
    <row r="44" spans="1:5" s="17" customFormat="1" x14ac:dyDescent="0.25">
      <c r="A44" s="18"/>
      <c r="B44" s="20"/>
      <c r="C44" s="21"/>
      <c r="D44" s="21"/>
      <c r="E44" s="21"/>
    </row>
    <row r="45" spans="1:5" s="17" customFormat="1" x14ac:dyDescent="0.25">
      <c r="A45" s="18">
        <v>16</v>
      </c>
      <c r="B45" s="24" t="s">
        <v>69</v>
      </c>
      <c r="C45" s="21"/>
      <c r="D45" s="21"/>
      <c r="E45" s="21"/>
    </row>
    <row r="46" spans="1:5" s="17" customFormat="1" ht="30" customHeight="1" x14ac:dyDescent="0.25">
      <c r="A46" s="18"/>
      <c r="B46" s="16" t="s">
        <v>53</v>
      </c>
      <c r="C46" s="228" t="s">
        <v>71</v>
      </c>
      <c r="D46" s="228"/>
      <c r="E46" s="228"/>
    </row>
    <row r="47" spans="1:5" s="17" customFormat="1" x14ac:dyDescent="0.25">
      <c r="A47" s="18"/>
      <c r="B47" s="20" t="s">
        <v>54</v>
      </c>
      <c r="C47" s="229" t="s">
        <v>70</v>
      </c>
      <c r="D47" s="229"/>
      <c r="E47" s="229"/>
    </row>
    <row r="48" spans="1:5" s="17" customFormat="1" ht="48.75" customHeight="1" x14ac:dyDescent="0.25">
      <c r="A48" s="18"/>
      <c r="B48" s="16" t="s">
        <v>55</v>
      </c>
      <c r="C48" s="228" t="s">
        <v>73</v>
      </c>
      <c r="D48" s="228"/>
      <c r="E48" s="228"/>
    </row>
    <row r="49" spans="1:5" s="17" customFormat="1" ht="29.25" customHeight="1" x14ac:dyDescent="0.25">
      <c r="A49" s="18"/>
      <c r="B49" s="20" t="s">
        <v>56</v>
      </c>
      <c r="C49" s="229" t="s">
        <v>72</v>
      </c>
      <c r="D49" s="229"/>
      <c r="E49" s="229"/>
    </row>
    <row r="50" spans="1:5" x14ac:dyDescent="0.25">
      <c r="B50" s="5"/>
      <c r="C50" s="6"/>
      <c r="D50" s="6"/>
      <c r="E50" s="6"/>
    </row>
    <row r="51" spans="1:5" ht="94.5" customHeight="1" x14ac:dyDescent="0.25">
      <c r="A51" s="1">
        <v>17</v>
      </c>
      <c r="B51" s="227" t="s">
        <v>33</v>
      </c>
      <c r="C51" s="227"/>
      <c r="D51" s="227"/>
      <c r="E51" s="227"/>
    </row>
    <row r="52" spans="1:5" s="17" customFormat="1" ht="16.5" customHeight="1" x14ac:dyDescent="0.25">
      <c r="A52" s="18"/>
      <c r="B52" s="132"/>
      <c r="C52" s="132"/>
      <c r="D52" s="132"/>
      <c r="E52" s="132"/>
    </row>
    <row r="53" spans="1:5" s="17" customFormat="1" ht="31.9" customHeight="1" x14ac:dyDescent="0.25">
      <c r="A53" s="18">
        <v>18</v>
      </c>
      <c r="B53" s="222" t="s">
        <v>265</v>
      </c>
      <c r="C53" s="222"/>
      <c r="D53" s="222"/>
      <c r="E53" s="222"/>
    </row>
    <row r="55" spans="1:5" x14ac:dyDescent="0.25">
      <c r="B55" s="2"/>
    </row>
    <row r="56" spans="1:5" x14ac:dyDescent="0.25">
      <c r="A56" s="226" t="s">
        <v>35</v>
      </c>
      <c r="B56" s="226"/>
      <c r="C56" s="226"/>
      <c r="D56" s="226"/>
      <c r="E56" s="226"/>
    </row>
  </sheetData>
  <mergeCells count="36">
    <mergeCell ref="B53:E53"/>
    <mergeCell ref="B25:E25"/>
    <mergeCell ref="B27:E27"/>
    <mergeCell ref="B17:E17"/>
    <mergeCell ref="B6:E6"/>
    <mergeCell ref="C49:E49"/>
    <mergeCell ref="C48:E48"/>
    <mergeCell ref="B29:E29"/>
    <mergeCell ref="B31:E31"/>
    <mergeCell ref="B33:E33"/>
    <mergeCell ref="A56:E56"/>
    <mergeCell ref="B19:E19"/>
    <mergeCell ref="B51:E51"/>
    <mergeCell ref="B35:E35"/>
    <mergeCell ref="C36:E36"/>
    <mergeCell ref="C37:E37"/>
    <mergeCell ref="C38:E38"/>
    <mergeCell ref="C39:E39"/>
    <mergeCell ref="C40:E40"/>
    <mergeCell ref="C41:E41"/>
    <mergeCell ref="C42:E42"/>
    <mergeCell ref="C43:E43"/>
    <mergeCell ref="B21:E21"/>
    <mergeCell ref="B23:E23"/>
    <mergeCell ref="C46:E46"/>
    <mergeCell ref="C47:E47"/>
    <mergeCell ref="B1:E1"/>
    <mergeCell ref="B2:E2"/>
    <mergeCell ref="B4:E4"/>
    <mergeCell ref="B15:E15"/>
    <mergeCell ref="B10:C10"/>
    <mergeCell ref="B11:C11"/>
    <mergeCell ref="B13:C13"/>
    <mergeCell ref="B12:C12"/>
    <mergeCell ref="B8:C8"/>
    <mergeCell ref="B9:C9"/>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2018-07-11T14:49:39Z</cp:lastPrinted>
  <dcterms:created xsi:type="dcterms:W3CDTF">2013-05-11T20:19:37Z</dcterms:created>
  <dcterms:modified xsi:type="dcterms:W3CDTF">2018-11-15T20:00:53Z</dcterms:modified>
</cp:coreProperties>
</file>