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queryTables/queryTable3.xml" ContentType="application/vnd.openxmlformats-officedocument.spreadsheetml.queryTable+xml"/>
  <Override PartName="/xl/tables/table6.xml" ContentType="application/vnd.openxmlformats-officedocument.spreadsheetml.table+xml"/>
  <Override PartName="/xl/queryTables/queryTable4.xml" ContentType="application/vnd.openxmlformats-officedocument.spreadsheetml.query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45" windowWidth="28830" windowHeight="739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Transactions'!$A$1:$AC$137</definedName>
    <definedName name="Query_from_MS_Access_Database" localSheetId="1" hidden="1">'Regional Loans and Transfers'!$A$11:$Y$49</definedName>
    <definedName name="Query_from_MS_Access_Database_1" localSheetId="0" hidden="1">'Federal Funds Transactions'!$A$17:$AB$115</definedName>
    <definedName name="Query_from_MS_Access_Database_1" localSheetId="1" hidden="1">'Regional Loans and Transfers'!$A$53:$X$85</definedName>
    <definedName name="Query_from_MS_Access_Database_2" localSheetId="0" hidden="1">'Federal Funds Transactions'!$A$120:$AB$127</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AD121" i="1" l="1"/>
  <c r="AD122" i="1" s="1"/>
  <c r="AD123" i="1" s="1"/>
  <c r="AD124" i="1" s="1"/>
  <c r="AD125" i="1" s="1"/>
  <c r="AD126" i="1" s="1"/>
  <c r="AD127" i="1" s="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AC18" i="1"/>
  <c r="AC19" i="1"/>
  <c r="AC20" i="1"/>
  <c r="AC21" i="1"/>
  <c r="AC22" i="1"/>
  <c r="AC23" i="1"/>
  <c r="AC24" i="1"/>
  <c r="AC25" i="1"/>
  <c r="AC26" i="1"/>
  <c r="AC27" i="1"/>
  <c r="AC28" i="1"/>
  <c r="AC29" i="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88" i="1"/>
  <c r="AC89" i="1"/>
  <c r="AC90" i="1"/>
  <c r="AC91" i="1"/>
  <c r="AC92" i="1"/>
  <c r="AC93" i="1"/>
  <c r="AC94" i="1"/>
  <c r="AC95" i="1"/>
  <c r="AC96" i="1"/>
  <c r="AC97" i="1"/>
  <c r="AC98" i="1"/>
  <c r="AC99" i="1"/>
  <c r="AC100" i="1"/>
  <c r="AC101" i="1"/>
  <c r="AC102" i="1"/>
  <c r="AC103" i="1"/>
  <c r="AC104" i="1"/>
  <c r="AC105" i="1"/>
  <c r="AC106" i="1"/>
  <c r="AC107" i="1"/>
  <c r="AC108" i="1"/>
  <c r="AC109" i="1"/>
  <c r="AC110" i="1"/>
  <c r="AC111" i="1"/>
  <c r="AC112" i="1"/>
  <c r="AC113" i="1"/>
  <c r="AC114" i="1"/>
  <c r="AC115" i="1"/>
  <c r="I121" i="1"/>
  <c r="I123" i="1"/>
  <c r="I127" i="1"/>
  <c r="I122" i="1"/>
  <c r="I124" i="1"/>
  <c r="I125" i="1"/>
  <c r="I126" i="1"/>
  <c r="AC121" i="1"/>
  <c r="AC123" i="1"/>
  <c r="AC127" i="1"/>
  <c r="AC122" i="1"/>
  <c r="AC124" i="1"/>
  <c r="AC125" i="1"/>
  <c r="AC126" i="1"/>
  <c r="R146" i="1" l="1"/>
  <c r="O4" i="1" l="1"/>
  <c r="AD4" i="1" l="1"/>
  <c r="AD5" i="1"/>
  <c r="X136" i="1" l="1"/>
  <c r="N128" i="1" l="1"/>
  <c r="N116" i="1"/>
  <c r="X12" i="1"/>
  <c r="X11" i="1"/>
  <c r="X10" i="1"/>
  <c r="X9" i="1"/>
  <c r="X8" i="1"/>
  <c r="X7" i="1"/>
  <c r="X5" i="1"/>
  <c r="X4" i="1"/>
  <c r="N130" i="1" l="1"/>
  <c r="X14" i="1"/>
  <c r="U10" i="1" l="1"/>
  <c r="U9" i="1"/>
  <c r="U8" i="1"/>
  <c r="U7" i="1"/>
  <c r="T7" i="1" l="1"/>
  <c r="T8" i="1"/>
  <c r="T9" i="1"/>
  <c r="T10" i="1"/>
  <c r="T11" i="1"/>
  <c r="T12" i="1"/>
  <c r="U12" i="1"/>
  <c r="U11" i="1"/>
  <c r="AD12" i="1" l="1"/>
  <c r="AB12" i="1"/>
  <c r="AA12" i="1"/>
  <c r="Z12" i="1"/>
  <c r="Y12" i="1"/>
  <c r="W12" i="1"/>
  <c r="V12" i="1"/>
  <c r="S12" i="1"/>
  <c r="R12" i="1"/>
  <c r="Q12" i="1"/>
  <c r="P12" i="1"/>
  <c r="O12" i="1"/>
  <c r="N12" i="1"/>
  <c r="AD11" i="1"/>
  <c r="AB11" i="1"/>
  <c r="AA11" i="1"/>
  <c r="Z11" i="1"/>
  <c r="Y11" i="1"/>
  <c r="W11" i="1"/>
  <c r="V11" i="1"/>
  <c r="S11" i="1"/>
  <c r="R11" i="1"/>
  <c r="Q11" i="1"/>
  <c r="P11" i="1"/>
  <c r="O11" i="1"/>
  <c r="N11" i="1"/>
  <c r="AD10" i="1"/>
  <c r="AB10" i="1"/>
  <c r="AA10" i="1"/>
  <c r="Z10" i="1"/>
  <c r="Y10" i="1"/>
  <c r="W10" i="1"/>
  <c r="V10" i="1"/>
  <c r="S10" i="1"/>
  <c r="R10" i="1"/>
  <c r="Q10" i="1"/>
  <c r="P10" i="1"/>
  <c r="O10" i="1"/>
  <c r="N10" i="1"/>
  <c r="AD9" i="1"/>
  <c r="AB9" i="1"/>
  <c r="AA9" i="1"/>
  <c r="Z9" i="1"/>
  <c r="Y9" i="1"/>
  <c r="W9" i="1"/>
  <c r="V9" i="1"/>
  <c r="S9" i="1"/>
  <c r="R9" i="1"/>
  <c r="Q9" i="1"/>
  <c r="P9" i="1"/>
  <c r="O9" i="1"/>
  <c r="N9" i="1"/>
  <c r="AD8" i="1"/>
  <c r="AB8" i="1"/>
  <c r="AA8" i="1"/>
  <c r="Z8" i="1"/>
  <c r="Y8" i="1"/>
  <c r="W8" i="1"/>
  <c r="V8" i="1"/>
  <c r="S8" i="1"/>
  <c r="R8" i="1"/>
  <c r="Q8" i="1"/>
  <c r="P8" i="1"/>
  <c r="O8" i="1"/>
  <c r="N8" i="1"/>
  <c r="AD7" i="1"/>
  <c r="AB7" i="1"/>
  <c r="AA7" i="1"/>
  <c r="Z7" i="1"/>
  <c r="Y7" i="1"/>
  <c r="W7" i="1"/>
  <c r="V7" i="1"/>
  <c r="S7" i="1"/>
  <c r="R7" i="1"/>
  <c r="Q7" i="1"/>
  <c r="P7" i="1"/>
  <c r="O7" i="1"/>
  <c r="N7" i="1"/>
  <c r="AC5" i="1"/>
  <c r="AC135" i="1" l="1"/>
  <c r="O128" i="1"/>
  <c r="P128" i="1"/>
  <c r="Q128" i="1"/>
  <c r="R128" i="1"/>
  <c r="S128" i="1"/>
  <c r="T128" i="1"/>
  <c r="U128" i="1"/>
  <c r="V128" i="1"/>
  <c r="W128" i="1"/>
  <c r="X128" i="1"/>
  <c r="Y128" i="1"/>
  <c r="Z128" i="1"/>
  <c r="AA128" i="1"/>
  <c r="AB128" i="1"/>
  <c r="O116" i="1"/>
  <c r="P116" i="1"/>
  <c r="Q116" i="1"/>
  <c r="R116" i="1"/>
  <c r="S116" i="1"/>
  <c r="T116" i="1"/>
  <c r="U116" i="1"/>
  <c r="V116" i="1"/>
  <c r="W116" i="1"/>
  <c r="X116" i="1"/>
  <c r="X117" i="1" s="1"/>
  <c r="Y116" i="1"/>
  <c r="Z116" i="1"/>
  <c r="AA116" i="1"/>
  <c r="AB116" i="1"/>
  <c r="O130" i="1" l="1"/>
  <c r="AC128" i="1"/>
  <c r="AC116" i="1"/>
  <c r="AB130" i="1"/>
  <c r="X130" i="1"/>
  <c r="T130" i="1"/>
  <c r="P130" i="1"/>
  <c r="Y130" i="1"/>
  <c r="U130" i="1"/>
  <c r="Q130" i="1"/>
  <c r="AA130" i="1"/>
  <c r="W130" i="1"/>
  <c r="S130" i="1"/>
  <c r="Z130" i="1"/>
  <c r="V130" i="1"/>
  <c r="R130" i="1"/>
  <c r="N14" i="1"/>
  <c r="N117" i="1" s="1"/>
  <c r="N129" i="1" s="1"/>
  <c r="N134" i="1" l="1"/>
  <c r="N137" i="1" s="1"/>
  <c r="AC130" i="1"/>
  <c r="B5" i="3" l="1"/>
  <c r="N136" i="1" l="1"/>
  <c r="AC7" i="1"/>
  <c r="P14" i="1" l="1"/>
  <c r="R14" i="1"/>
  <c r="AA14" i="1"/>
  <c r="Y14" i="1"/>
  <c r="V14" i="1"/>
  <c r="T14" i="1"/>
  <c r="Q14" i="1"/>
  <c r="AB14" i="1"/>
  <c r="Z14" i="1"/>
  <c r="W14" i="1"/>
  <c r="U14" i="1"/>
  <c r="AB117" i="1" l="1"/>
  <c r="AB129" i="1" s="1"/>
  <c r="AB134" i="1" s="1"/>
  <c r="AB136" i="1" s="1"/>
  <c r="Y117" i="1"/>
  <c r="Y129" i="1" s="1"/>
  <c r="Q117" i="1"/>
  <c r="Q129" i="1" s="1"/>
  <c r="T117" i="1"/>
  <c r="R117" i="1"/>
  <c r="R129" i="1" s="1"/>
  <c r="U117" i="1"/>
  <c r="U129" i="1" s="1"/>
  <c r="AA117" i="1"/>
  <c r="AA129" i="1" s="1"/>
  <c r="AA137" i="1" s="1"/>
  <c r="X129" i="1"/>
  <c r="W117" i="1"/>
  <c r="W129" i="1" s="1"/>
  <c r="Z117" i="1"/>
  <c r="Z129" i="1" s="1"/>
  <c r="V117" i="1"/>
  <c r="V129" i="1" s="1"/>
  <c r="P117" i="1"/>
  <c r="AD135" i="1"/>
  <c r="Z134" i="1" l="1"/>
  <c r="Z136" i="1" s="1"/>
  <c r="Y134" i="1"/>
  <c r="Y136" i="1" s="1"/>
  <c r="X137" i="1"/>
  <c r="AD137" i="1"/>
  <c r="U134" i="1"/>
  <c r="U137" i="1" s="1"/>
  <c r="Q134" i="1"/>
  <c r="Q137" i="1" s="1"/>
  <c r="V137" i="1"/>
  <c r="W134" i="1"/>
  <c r="W137" i="1" s="1"/>
  <c r="R134" i="1"/>
  <c r="R137" i="1" s="1"/>
  <c r="AB137" i="1"/>
  <c r="S6" i="1"/>
  <c r="S14" i="1" s="1"/>
  <c r="S117" i="1" s="1"/>
  <c r="S129" i="1" s="1"/>
  <c r="Y137" i="1" l="1"/>
  <c r="Z137" i="1"/>
  <c r="S134" i="1"/>
  <c r="S137" i="1" s="1"/>
  <c r="U136" i="1"/>
  <c r="T129" i="1"/>
  <c r="W136" i="1"/>
  <c r="D95" i="3"/>
  <c r="D93" i="3"/>
  <c r="S136" i="1" l="1"/>
  <c r="T134" i="1"/>
  <c r="T136" i="1" s="1"/>
  <c r="E99" i="3"/>
  <c r="T137" i="1" l="1"/>
  <c r="D99" i="3"/>
  <c r="D10" i="2" l="1"/>
  <c r="D12" i="2"/>
  <c r="D11" i="2" l="1"/>
  <c r="D13" i="2" s="1"/>
  <c r="AC6" i="1" l="1"/>
  <c r="AD6" i="1" s="1"/>
  <c r="AC13" i="1"/>
  <c r="AC4" i="1"/>
  <c r="O14" i="1" l="1"/>
  <c r="P129" i="1" l="1"/>
  <c r="O117" i="1"/>
  <c r="O129" i="1" s="1"/>
  <c r="P134" i="1" l="1"/>
  <c r="P137" i="1" s="1"/>
  <c r="O134" i="1"/>
  <c r="O137" i="1" s="1"/>
  <c r="A7" i="3"/>
  <c r="Q136" i="1" l="1"/>
  <c r="AC10" i="1"/>
  <c r="AC11" i="1"/>
  <c r="AC8" i="1"/>
  <c r="AC12" i="1"/>
  <c r="AD14" i="1"/>
  <c r="AD18" i="1" s="1"/>
  <c r="AC9" i="1"/>
  <c r="AC14" i="1" l="1"/>
  <c r="R136" i="1"/>
  <c r="P136" i="1" l="1"/>
  <c r="AC136" i="1" s="1"/>
  <c r="AC134" i="1"/>
  <c r="AC117" i="1"/>
  <c r="AC129" i="1" s="1"/>
  <c r="A1" i="3"/>
  <c r="AC137" i="1" l="1"/>
  <c r="AD19" i="1"/>
  <c r="AD20" i="1" s="1"/>
  <c r="AD21" i="1" s="1"/>
  <c r="AD22" i="1" s="1"/>
  <c r="AD23" i="1" s="1"/>
  <c r="AD24" i="1" s="1"/>
  <c r="AD25" i="1" s="1"/>
  <c r="AD26" i="1" s="1"/>
  <c r="AD27" i="1" s="1"/>
  <c r="AD28" i="1" s="1"/>
  <c r="AD29" i="1" s="1"/>
  <c r="AD30" i="1" s="1"/>
  <c r="AD31" i="1" s="1"/>
  <c r="AD32" i="1" s="1"/>
  <c r="AD33" i="1" s="1"/>
  <c r="AD34" i="1" s="1"/>
  <c r="AD35" i="1" s="1"/>
  <c r="AD36" i="1" s="1"/>
  <c r="AD37" i="1" s="1"/>
  <c r="AD38" i="1" s="1"/>
  <c r="AD39" i="1" s="1"/>
  <c r="AD40" i="1" s="1"/>
  <c r="AD41" i="1" s="1"/>
  <c r="AD42" i="1" s="1"/>
  <c r="AD43" i="1" s="1"/>
  <c r="AD44" i="1" s="1"/>
  <c r="AD45" i="1" s="1"/>
  <c r="AD46" i="1" s="1"/>
  <c r="AD47" i="1" s="1"/>
  <c r="AD48" i="1" s="1"/>
  <c r="AD49" i="1" s="1"/>
  <c r="AD50" i="1" s="1"/>
  <c r="AD51" i="1" s="1"/>
  <c r="AD52" i="1" s="1"/>
  <c r="AD53" i="1" s="1"/>
  <c r="AD54" i="1" s="1"/>
  <c r="AD55" i="1" s="1"/>
  <c r="AD56" i="1" s="1"/>
  <c r="AD57" i="1" s="1"/>
  <c r="AD58" i="1" s="1"/>
  <c r="AD59" i="1" s="1"/>
  <c r="AD60" i="1" s="1"/>
  <c r="AD61" i="1" s="1"/>
  <c r="AD62" i="1" s="1"/>
  <c r="AD63" i="1" s="1"/>
  <c r="AD64" i="1" s="1"/>
  <c r="AD65" i="1" s="1"/>
  <c r="AD66" i="1" s="1"/>
  <c r="AD67" i="1" s="1"/>
  <c r="AD68" i="1" s="1"/>
  <c r="AD69" i="1" s="1"/>
  <c r="AD70" i="1" s="1"/>
  <c r="AD71" i="1" s="1"/>
  <c r="AD72" i="1" s="1"/>
  <c r="AD73" i="1" s="1"/>
  <c r="AD74" i="1" s="1"/>
  <c r="AD75" i="1" s="1"/>
  <c r="AD76" i="1" s="1"/>
  <c r="AD77" i="1" s="1"/>
  <c r="AD78" i="1" s="1"/>
  <c r="AD79" i="1" s="1"/>
  <c r="AD80" i="1" s="1"/>
  <c r="AD81" i="1" s="1"/>
  <c r="AD82" i="1" s="1"/>
  <c r="AD83" i="1" s="1"/>
  <c r="AD84" i="1" s="1"/>
  <c r="AD85" i="1" s="1"/>
  <c r="AD86" i="1" s="1"/>
  <c r="AD87" i="1" s="1"/>
  <c r="AD88" i="1" s="1"/>
  <c r="AD89" i="1" s="1"/>
  <c r="AD90" i="1" s="1"/>
  <c r="AD91" i="1" s="1"/>
  <c r="AD92" i="1" s="1"/>
  <c r="AD93" i="1" s="1"/>
  <c r="AD94" i="1" s="1"/>
  <c r="AD95" i="1" s="1"/>
  <c r="AD96" i="1" s="1"/>
  <c r="AD97" i="1" s="1"/>
  <c r="AD98" i="1" s="1"/>
  <c r="AD99" i="1" s="1"/>
  <c r="AD100" i="1" s="1"/>
  <c r="AD101" i="1" s="1"/>
  <c r="AD102" i="1" s="1"/>
  <c r="AD103" i="1" s="1"/>
  <c r="AD104" i="1" s="1"/>
  <c r="AD105" i="1" s="1"/>
  <c r="AD106" i="1" s="1"/>
  <c r="AD107" i="1" s="1"/>
  <c r="AD108" i="1" s="1"/>
  <c r="AD109" i="1" s="1"/>
  <c r="AD110" i="1" s="1"/>
  <c r="AD111" i="1" s="1"/>
  <c r="AD112" i="1" s="1"/>
  <c r="AD113" i="1" s="1"/>
  <c r="AD114" i="1" s="1"/>
  <c r="AD115" i="1" s="1"/>
  <c r="AD134" i="1" l="1"/>
  <c r="AD136" i="1" s="1"/>
</calcChain>
</file>

<file path=xl/comments1.xml><?xml version="1.0" encoding="utf-8"?>
<comments xmlns="http://schemas.openxmlformats.org/spreadsheetml/2006/main">
  <authors>
    <author>Patrick Stone</author>
  </authors>
  <commentList>
    <comment ref="O4" authorId="0">
      <text>
        <r>
          <rPr>
            <b/>
            <sz val="9"/>
            <color indexed="81"/>
            <rFont val="Tahoma"/>
            <family val="2"/>
          </rPr>
          <t>Patrick Stone:</t>
        </r>
        <r>
          <rPr>
            <sz val="9"/>
            <color indexed="81"/>
            <rFont val="Tahoma"/>
            <family val="2"/>
          </rPr>
          <t xml:space="preserve">
There was insufficient apportionments in FY18 to fund project, apporitonments need to be released from FY19</t>
        </r>
      </text>
    </comment>
  </commentList>
</comments>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HIP &gt;200`,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gt;=#10/1/2018# AND `04-MAG LEDGER`.`Finance Authorization`&lt;=#9/30/2019#)_x000d__x000a_ORDER BY `04-MA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4-MAGqryLedgerApportsCrosstab`.`Transaction Year`, `04-MAGqryLedgerApportsCrosstab`.`Transaction Type`, `04-MAGqryLedgerApportsCrosstab`.Number, `04-MAGqryLedgerApportsCrosstab`.`From`, `04-MAGqryLedgerApportsCrosstab`.To, `04-MAGqryLedgerApportsCrosstab`.`Repayment Year`, `04-MAGqryLedgerApportsCrosstab`.Project8, `04-MAGqryLedgerApportsCrosstab`.Notes, `04-MAGqryLedgerApportsCrosstab`.Total, `04-MAGqryLedgerApportsCrosstab`.CMAQ, `04-MAGqryLedgerApportsCrosstab`.`CMAQ 25`, `04-MAGqryLedgerApportsCrosstab`.`HURF Exchange`, `04-MAGqryLedgerApportsCrosstab`.HSIP, `04-MAGqryLedgerApportsCrosstab`.PLAN, `04-MAGqryLedgerApportsCrosstab`.SPR, `04-MAGqryLedgerApportsCrosstab`.`STP &lt;5`, `04-MAGqryLedgerApportsCrosstab`.`STP 5-2`, `04-MAGqryLedgerApportsCrosstab`.`STP &gt;200`, `04-MAGqryLedgerApportsCrosstab`.`STP Flex`, `04-MAGqryLedgerApportsCrosstab`.`HIP &gt;200`, `04-MAGqryLedgerApportsCrosstab`.`TAP &lt;5`, `04-MAGqryLedgerApportsCrosstab`.`TAP 5-2`, `04-MAGqryLedgerApportsCrosstab`.`TAP &gt;200`, `04-MAGqryLedgerApportsCrosstab`.`TAP Flex`_x000d__x000a_FROM `G:\FMS\RESOURCE\ACCESS\010614 PBPF\011614 PBPF front.accdb`.`04-MAGqryLedgerApportsCrosstab` `04-MAGqryLedgerApportsCrosstab`_x000d__x000a_WHERE (`04-MA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4-MAGqryLedgerOACrosstab`.`Transaction Year`, `04-MAGqryLedgerOACrosstab`.`Transaction Type`, `04-MAGqryLedgerOACrosstab`.Number, `04-MAGqryLedgerOACrosstab`.`From`, `04-MAGqryLedgerOACrosstab`.To, `04-MAGqryLedgerOACrosstab`.`Repayment Year`, `04-MAGqryLedgerOACrosstab`.Project8, `04-MAGqryLedgerOACrosstab`.Notes, `04-MAGqryLedgerOACrosstab`.Total, `04-MAGqryLedgerOACrosstab`.CMAQ, `04-MAGqryLedgerOACrosstab`.`CMAQ 25`, `04-MAGqryLedgerOACrosstab`.`HURF Exchange`, `04-MAGqryLedgerOACrosstab`.HSIP, `04-MAGqryLedgerOACrosstab`.PLAN, `04-MAGqryLedgerOACrosstab`.SPR, `04-MAGqryLedgerOACrosstab`.`STP &lt;5`, `04-MAGqryLedgerOACrosstab`.`STP 5-2`, `04-MAGqryLedgerOACrosstab`.`STP &gt;200`, `04-MAGqryLedgerOACrosstab`.`STP Flex`, `04-MAGqryLedgerOACrosstab`.`HIP &gt;200`, `04-MAGqryLedgerOACrosstab`.`TAP &lt;5`, `04-MAGqryLedgerOACrosstab`.`TAP 5-2`, `04-MAGqryLedgerOACrosstab`.`TAP &gt;200`, `04-MAGqryLedgerOACrosstab`.`TAP Flex`_x000d__x000a_FROM `G:\FMS\RESOURCE\ACCESS\010614 PBPF\011614 PBPF front.accdb`.`04-MAGqryLedgerOACrosstab` `04-MAGqryLedgerOACrosstab`_x000d__x000a_WHERE (`04-MA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4-MAG LEDGER`.`ADOT#`, `04-MAG LEDGER`.`TIP#`, `04-MAG LEDGER`.Sponsor, `04-MAG LEDGER`.`Action/15`, `04-MAG LEDGER`.Location, `04-MAG LEDGER`.RTE, `04-MAG LEDGER`.SEC, `04-MAG LEDGER`.SEQ, `04-MAG LEDGER`.`PB Expected`, `04-MAG LEDGER`.`PB Received`, `04-MAG LEDGER`.`PF Transmitted`, `04-MAG LEDGER`.`Finance Authorization`, `04-MAG LEDGER`.`HURF Exchange` as `HURF EX`, `04-MAG LEDGER`.CMAQ, `04-MAG LEDGER`.`CMAQ 2_5`, `04-MAG LEDGER`.HSIP, `04-MAG LEDGER`.PL, `04-MAG LEDGER`.SPR, `04-MAG LEDGER`.`STP &lt;5`, `04-MAG LEDGER`.`STP 5-200`, `04-MAG LEDGER`.`STP OVER 200K`, `04-MAG LEDGER`.`STP OTHER`, `04-MAG LEDGER`.`HIP &gt;200`, `04-MAG LEDGER`.`TAP &lt;5`, `04-MAG LEDGER`.`TAP 5-200`, `04-MAG LEDGER`.`TA OVER 200K`, `04-MAG LEDGER`.`TA OTHER` as `TAP Flex`_x000d__x000a_FROM `G:\FMS\RESOURCE\ACCESS\010614 PBPF\011614 PBPF front.accdb`.`04-MAG LEDGER` `04-MAG LEDGER`_x000d__x000a_WHERE (`04-MAG LEDGER`.`ADOT#` Not Like 'Trick') AND (`04-MAG LEDGER`.`Finance Authorization` Is Null) AND (`04-MAG LEDGER`.`Action/15` Not Like 'Reduce AC') AND ((`04-MAG LEDGER`.`PB Expected`&gt;=#10/1/2018# and `PB Expected`&lt;=#9/30/2019#) OR (`04-MAG LEDGER`.`PB Received`&gt;=#10/1/2018# and `PB Received`&lt;=#9/30/2019#) OR (`04-MAG LEDGER`.`PF Transmitted`&gt;=#10/1/2018# and `PF Transmitted`&lt;=#9/30/2019#))_x000d__x000a_ORDER BY `04-MAG LEDGER`.`ADOT#`"/>
  </connection>
</connections>
</file>

<file path=xl/sharedStrings.xml><?xml version="1.0" encoding="utf-8"?>
<sst xmlns="http://schemas.openxmlformats.org/spreadsheetml/2006/main" count="1609" uniqueCount="589">
  <si>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</si>
  <si>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</si>
  <si>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</si>
  <si>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</si>
  <si>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</si>
  <si>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</si>
  <si>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</si>
  <si>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</si>
  <si>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</si>
  <si>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</si>
  <si>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</si>
  <si>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</si>
  <si>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</si>
  <si>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</si>
  <si>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</si>
  <si>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</si>
  <si>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</si>
  <si>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</si>
  <si>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</si>
  <si>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</si>
  <si>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</si>
  <si>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</si>
  <si>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</si>
  <si>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</si>
  <si>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</si>
  <si>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</si>
  <si>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</si>
  <si>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</si>
  <si>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</si>
  <si>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</si>
  <si>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</si>
  <si>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</si>
  <si>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</si>
  <si>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</si>
  <si>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</si>
  <si>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</si>
  <si>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</si>
  <si>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</si>
  <si>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</si>
  <si>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</si>
  <si>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</si>
  <si>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</si>
  <si>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</si>
  <si>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</si>
  <si>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</si>
  <si>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</si>
  <si>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Transaction Year</t>
  </si>
  <si>
    <t>Transaction Type</t>
  </si>
  <si>
    <t>Repayment Year</t>
  </si>
  <si>
    <t>MAG</t>
  </si>
  <si>
    <t>RTE</t>
  </si>
  <si>
    <t>SEC</t>
  </si>
  <si>
    <t>SEQ</t>
  </si>
  <si>
    <t>PB Expected</t>
  </si>
  <si>
    <t>PB Received</t>
  </si>
  <si>
    <t>PF Transmitted</t>
  </si>
  <si>
    <t>Finance Authorization</t>
  </si>
  <si>
    <t>STP OTHER</t>
  </si>
  <si>
    <t>EXPECTED DECLINING BALANCE OA</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</si>
  <si>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</si>
  <si>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</si>
  <si>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</si>
  <si>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</si>
  <si>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</si>
  <si>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</si>
  <si>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</si>
  <si>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</si>
  <si>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</si>
  <si>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</si>
  <si>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</si>
  <si>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</si>
  <si>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</si>
  <si>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</si>
  <si>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</si>
  <si>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</si>
  <si>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</si>
  <si>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</si>
  <si>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</si>
  <si>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</si>
  <si>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</si>
  <si>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</si>
  <si>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</si>
  <si>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</si>
  <si>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</si>
  <si>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</si>
  <si>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</si>
  <si>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</si>
  <si>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</si>
  <si>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</si>
  <si>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Repayment Out</t>
  </si>
  <si>
    <t>Transfer In</t>
  </si>
  <si>
    <t>TOTAL OF AMOUNT</t>
  </si>
  <si>
    <t>From</t>
  </si>
  <si>
    <t>To</t>
  </si>
  <si>
    <t>Project8</t>
  </si>
  <si>
    <t>Notes</t>
  </si>
  <si>
    <t>DECLINING BALANCE OA</t>
  </si>
  <si>
    <t>Maricopa Association of Goverments</t>
  </si>
  <si>
    <t>STP OVER 200K</t>
  </si>
  <si>
    <t>TA OVER 200K</t>
  </si>
  <si>
    <t>0</t>
  </si>
  <si>
    <t>ADOT</t>
  </si>
  <si>
    <t>Loan In</t>
  </si>
  <si>
    <t>2013</t>
  </si>
  <si>
    <t>MAG005</t>
  </si>
  <si>
    <t>2014</t>
  </si>
  <si>
    <t>2013 ADOT LOAN OF SPR FUNDS TO MAG</t>
  </si>
  <si>
    <t>SEAGO001</t>
  </si>
  <si>
    <t>SEAGO</t>
  </si>
  <si>
    <t>2013 STP Loan from SEAGO</t>
  </si>
  <si>
    <t>CAG-T001</t>
  </si>
  <si>
    <t>CAG</t>
  </si>
  <si>
    <t>None</t>
  </si>
  <si>
    <t>STP Transfer from CAG for Maricopa Casa Grande Hwy MAR 12-01C</t>
  </si>
  <si>
    <t>MAG001</t>
  </si>
  <si>
    <t>SS917</t>
  </si>
  <si>
    <t>2013 HSIP ADOT TRANSFER TO MAG</t>
  </si>
  <si>
    <t>MAG002</t>
  </si>
  <si>
    <t>SH535</t>
  </si>
  <si>
    <t>MAG003</t>
  </si>
  <si>
    <t>SH536</t>
  </si>
  <si>
    <t>MAG004</t>
  </si>
  <si>
    <t>SH538</t>
  </si>
  <si>
    <t>2014 REPAYMENT OF SPR FUNDS TO ADOT</t>
  </si>
  <si>
    <t>2015</t>
  </si>
  <si>
    <t>STP Loan repayment to SEAGO</t>
  </si>
  <si>
    <t>NACOG14-L001</t>
  </si>
  <si>
    <t>NACOG</t>
  </si>
  <si>
    <t>2016-2019</t>
  </si>
  <si>
    <t>FY 14 LOAN FROM NACOG TO MAG</t>
  </si>
  <si>
    <t>2016</t>
  </si>
  <si>
    <t>2017</t>
  </si>
  <si>
    <t>2018</t>
  </si>
  <si>
    <t>2019</t>
  </si>
  <si>
    <t>GANS DEBT SERVICE</t>
  </si>
  <si>
    <t>PROJECT 8</t>
  </si>
  <si>
    <t>GAN YEAR</t>
  </si>
  <si>
    <t>FUNDING TYPE</t>
  </si>
  <si>
    <t>OA Amount</t>
  </si>
  <si>
    <t>H538101X</t>
  </si>
  <si>
    <t>N/A</t>
  </si>
  <si>
    <t>H591101X</t>
  </si>
  <si>
    <t>H591201X</t>
  </si>
  <si>
    <t>URBAN STP</t>
  </si>
  <si>
    <t xml:space="preserve"> APPORTIONMENT_AMOUNT </t>
  </si>
  <si>
    <r>
      <rPr>
        <b/>
        <sz val="9"/>
        <color rgb="FFFF0000"/>
        <rFont val="Arial Unicode MS"/>
        <family val="2"/>
      </rPr>
      <t xml:space="preserve">IMPORTANT! </t>
    </r>
    <r>
      <rPr>
        <sz val="9"/>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</si>
  <si>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</si>
  <si>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r>
      <rPr>
        <b/>
        <sz val="11"/>
        <color rgb="FFFF0000"/>
        <rFont val="Arial Unicode MS"/>
        <family val="2"/>
      </rPr>
      <t xml:space="preserve">DRAFT </t>
    </r>
    <r>
      <rPr>
        <sz val="11"/>
        <color theme="1"/>
        <rFont val="Arial Unicode MS"/>
        <family val="2"/>
      </rPr>
      <t>Data as of:</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</si>
  <si>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</si>
  <si>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Lapsing</t>
  </si>
  <si>
    <t>MAG-LP01</t>
  </si>
  <si>
    <t>MAG LAPSING FUNDS - FFY14</t>
  </si>
  <si>
    <t>Loan Out</t>
  </si>
  <si>
    <t>MAG-L001</t>
  </si>
  <si>
    <t>MAG OA LOAN TO ADOT - FFY14</t>
  </si>
  <si>
    <t>Repayment In</t>
  </si>
  <si>
    <t>MAG-L002</t>
  </si>
  <si>
    <t>ADOT APPORTIONMENT LOAN TO MAG - FFY 14</t>
  </si>
  <si>
    <t>DEBT SERVICE BILLING (INTEREST) 01/2016</t>
  </si>
  <si>
    <t>DEBT SERVICE BILLING (INTEREST) 07/2016</t>
  </si>
  <si>
    <t>DEBT SERVICE BILLING (PRINCIPAL) 07/2016</t>
  </si>
  <si>
    <t>MAG Debt Service - Est</t>
  </si>
  <si>
    <t>GLENDALE</t>
  </si>
  <si>
    <t>GLN</t>
  </si>
  <si>
    <t>Current FFY
Apportionments /5 /18</t>
  </si>
  <si>
    <t>SCMPOMAG-16L1</t>
  </si>
  <si>
    <t>SUNMPO</t>
  </si>
  <si>
    <t>SCMPO STP Loan to MAG</t>
  </si>
  <si>
    <t>SVMPOMAG-16L1</t>
  </si>
  <si>
    <t>SVMPO</t>
  </si>
  <si>
    <t>SVMPO HSIP/STP Loan to MAG</t>
  </si>
  <si>
    <t>Transfer Out</t>
  </si>
  <si>
    <t>MAG16-T001</t>
  </si>
  <si>
    <t>H882701C</t>
  </si>
  <si>
    <t>MAG Urban STP Transfer to ADOT</t>
  </si>
  <si>
    <t>PINAL CO-MAG</t>
  </si>
  <si>
    <t>PPN</t>
  </si>
  <si>
    <t>CHANDLER</t>
  </si>
  <si>
    <t>CHN</t>
  </si>
  <si>
    <t>TBD</t>
  </si>
  <si>
    <t>MARICOPA</t>
  </si>
  <si>
    <t>MAR</t>
  </si>
  <si>
    <t>MESA</t>
  </si>
  <si>
    <t>MES</t>
  </si>
  <si>
    <t xml:space="preserve">MARICOPA COUNTY               </t>
  </si>
  <si>
    <t>MMA</t>
  </si>
  <si>
    <t>PHOENIX</t>
  </si>
  <si>
    <t>PHX</t>
  </si>
  <si>
    <t>SCOTTSDALE</t>
  </si>
  <si>
    <t>SCT</t>
  </si>
  <si>
    <t>239</t>
  </si>
  <si>
    <t>217</t>
  </si>
  <si>
    <t>204</t>
  </si>
  <si>
    <t>TEMPE</t>
  </si>
  <si>
    <t>TMP</t>
  </si>
  <si>
    <t>AVONDALE</t>
  </si>
  <si>
    <t>AVN</t>
  </si>
  <si>
    <t>999</t>
  </si>
  <si>
    <t>A</t>
  </si>
  <si>
    <t>David Crockett Elementary, Encanto Elementary, Clarendon Elementary, Montebello Elementary</t>
  </si>
  <si>
    <t>Trumbleweed Elementary, Maryland Elementary, Lowell School, Moon Mountain Elementary</t>
  </si>
  <si>
    <t>SURPRISE</t>
  </si>
  <si>
    <t>SUR</t>
  </si>
  <si>
    <t>SCMPOMAG-17L1</t>
  </si>
  <si>
    <t>SVMPOMAG-17L1</t>
  </si>
  <si>
    <t>SVMPO STP Loan to MAG</t>
  </si>
  <si>
    <t>SVMPOMAG-17L2</t>
  </si>
  <si>
    <t>SVMPO HSIP Loan to MAG</t>
  </si>
  <si>
    <t>MAGSCMPO-17T1</t>
  </si>
  <si>
    <t>Regional Safety Plan</t>
  </si>
  <si>
    <t>MAG HSIP Transfer to SCMPO</t>
  </si>
  <si>
    <t>MAGADOT-16L1</t>
  </si>
  <si>
    <t>T0009/SH634/SH607</t>
  </si>
  <si>
    <t>MAG HSIP Apportionment Loan to ADOT</t>
  </si>
  <si>
    <t>SH531</t>
  </si>
  <si>
    <t>215</t>
  </si>
  <si>
    <t>2018/20</t>
  </si>
  <si>
    <t>2020</t>
  </si>
  <si>
    <t>STP &lt;5</t>
  </si>
  <si>
    <t>STP 5-2</t>
  </si>
  <si>
    <t>TAP &lt;5</t>
  </si>
  <si>
    <t>TAP 5-2</t>
  </si>
  <si>
    <t>Fed #</t>
  </si>
  <si>
    <t>FY18T1-CAGMAG</t>
  </si>
  <si>
    <t>CAG HSIP/STBGP Transfer to MAG</t>
  </si>
  <si>
    <t>FY18T2-MAGCAG</t>
  </si>
  <si>
    <t>ADOT-MAG REGION</t>
  </si>
  <si>
    <t>303</t>
  </si>
  <si>
    <t>225</t>
  </si>
  <si>
    <t>SCT18-701</t>
  </si>
  <si>
    <t>208</t>
  </si>
  <si>
    <t>242</t>
  </si>
  <si>
    <t>232</t>
  </si>
  <si>
    <t>TAP Flex</t>
  </si>
  <si>
    <t>Planned Lapsing - 06/30/18</t>
  </si>
  <si>
    <t>Lapsed - 07/01/18</t>
  </si>
  <si>
    <t>Planned Lapsing - 09/30/18</t>
  </si>
  <si>
    <t>Carry Forward to FFY 19</t>
  </si>
  <si>
    <t>State FY 18 Approved work program amount</t>
  </si>
  <si>
    <t>State FY 18 amount authorized prior to 09/30/17 or Lapsed funding</t>
  </si>
  <si>
    <t xml:space="preserve">State FY 18 amount available for authorization 10/01/17 - 06/30/18 </t>
  </si>
  <si>
    <t>State FY 19 amount avaiilable for authorization 07/1/18 - 09/30/18 (request must be submitted by 09/01/18)</t>
  </si>
  <si>
    <t>Total SPR apportionments for Federal Fiscal Year 18 (as shown on ledger)</t>
  </si>
  <si>
    <t>The  OA to apportionments for FFY 18 is 94.9%.  The rate for calculations is 0.949.</t>
  </si>
  <si>
    <t>CMAQ 25</t>
  </si>
  <si>
    <t>PLAN</t>
  </si>
  <si>
    <t>STP &gt;200</t>
  </si>
  <si>
    <t>STP Flex</t>
  </si>
  <si>
    <t>TAP &gt;200</t>
  </si>
  <si>
    <t>T016101X</t>
  </si>
  <si>
    <t>T016201X</t>
  </si>
  <si>
    <t>MAG CMAQ TO FTA</t>
  </si>
  <si>
    <t>P</t>
  </si>
  <si>
    <t>STP 5-200</t>
  </si>
  <si>
    <t>TAP 5-200</t>
  </si>
  <si>
    <t>HURF Exchange</t>
  </si>
  <si>
    <t>TAP &gt;201</t>
  </si>
  <si>
    <t>HURF EX</t>
  </si>
  <si>
    <t>STP Other</t>
  </si>
  <si>
    <t>GILBERT</t>
  </si>
  <si>
    <t>GIL</t>
  </si>
  <si>
    <t>Per the adopted MAG Regional Transportation Plan of November 25, 2003, $149m of CMAQ funding is intended to be used on Freeways. This represents 19% of the planned CMAQ funding.</t>
  </si>
  <si>
    <t>278</t>
  </si>
  <si>
    <t>277</t>
  </si>
  <si>
    <t>216</t>
  </si>
  <si>
    <t>250</t>
  </si>
  <si>
    <t>SVMPOMAG-18L1</t>
  </si>
  <si>
    <t>SZ04601C</t>
  </si>
  <si>
    <t>NORTHERN PKWY: DYSART RD TO 111TH AVE</t>
  </si>
  <si>
    <t>CITYWIDE - SRTS COORDINATOR</t>
  </si>
  <si>
    <t>MMA15-113CX / 113C2X / 19-113CZ / 25-113CRB</t>
  </si>
  <si>
    <t>PMG1902P</t>
  </si>
  <si>
    <t>MAG 2019 WP - PL</t>
  </si>
  <si>
    <t>019</t>
  </si>
  <si>
    <t>F000601C</t>
  </si>
  <si>
    <t>ADOT# 43219 / MAG# DOT19-703</t>
  </si>
  <si>
    <t>SR303L; NORTHERN AVE - CLEARVIEW BLVD</t>
  </si>
  <si>
    <t>226</t>
  </si>
  <si>
    <t>F001301C</t>
  </si>
  <si>
    <t>ADOT# 43319 / MAG# DOT19-702</t>
  </si>
  <si>
    <t>SR303L; LAKE PLEASANT RD - I-17</t>
  </si>
  <si>
    <t>PURCHASE PM-10 CERTIFIED STREET SWEEPERS AND PROJECT IMPLEMENTATION</t>
  </si>
  <si>
    <t>MAGFTA19</t>
  </si>
  <si>
    <t>MAG19-780</t>
  </si>
  <si>
    <t>PHX19-760</t>
  </si>
  <si>
    <t>SL73801C</t>
  </si>
  <si>
    <t>VAN BUREN ST; AF RIVER - 113TH AVE</t>
  </si>
  <si>
    <t>221</t>
  </si>
  <si>
    <t>SZ07801C</t>
  </si>
  <si>
    <t>AVN15-441C/AVN15-441C2</t>
  </si>
  <si>
    <t>Agua Fria Shared Use Path Connector: I-10 and the Agua Fria Channel (Phase 1)</t>
  </si>
  <si>
    <t>T005601C</t>
  </si>
  <si>
    <t>PNL19-402</t>
  </si>
  <si>
    <t>GERMANN RD; MERIDIAN RD TO IRONWOOD DR</t>
  </si>
  <si>
    <t>214</t>
  </si>
  <si>
    <t>T005601R</t>
  </si>
  <si>
    <t>PNL18-801</t>
  </si>
  <si>
    <t>T006501C</t>
  </si>
  <si>
    <t>PNL19-701C</t>
  </si>
  <si>
    <t>BARNES RD - FUQUA RD TO STANFIELD RD</t>
  </si>
  <si>
    <t>T006701C</t>
  </si>
  <si>
    <t>PNL19-702C</t>
  </si>
  <si>
    <t>STANFIELD RD - TALLA RD TO MILLER RD</t>
  </si>
  <si>
    <t>T007001C</t>
  </si>
  <si>
    <t>GLN19-741</t>
  </si>
  <si>
    <t>PARADISE LN - 55TH AVE TO 59TH AVE</t>
  </si>
  <si>
    <t>256</t>
  </si>
  <si>
    <t>T007601C</t>
  </si>
  <si>
    <t>CAMELBACK RD - 51ST AVE TO 91ST AVE</t>
  </si>
  <si>
    <t>253</t>
  </si>
  <si>
    <t>T008101C</t>
  </si>
  <si>
    <t>PARADISE VALLEY</t>
  </si>
  <si>
    <t>Lincoln Dr - 660 feet West of Scottsdale Rd with portions to 32d Street</t>
  </si>
  <si>
    <t>PVY</t>
  </si>
  <si>
    <t>T009901R</t>
  </si>
  <si>
    <t>CHN20-113RWZ</t>
  </si>
  <si>
    <t>CHANDLER HEIGHTS ROAD: MCQUEEN ROAD TO GILBERT RD</t>
  </si>
  <si>
    <t>240</t>
  </si>
  <si>
    <t>T010501C</t>
  </si>
  <si>
    <t>MILLER RD; TONOPAH-SALOME HWY TO VAN BUREN ST</t>
  </si>
  <si>
    <t>270</t>
  </si>
  <si>
    <t>MMA19-760</t>
  </si>
  <si>
    <t>MCDOT RADS EXPANSION AND ENHANCEMENTS</t>
  </si>
  <si>
    <t>273</t>
  </si>
  <si>
    <t>T011801C</t>
  </si>
  <si>
    <t>NEELY ST AND UPRR MAINLINE, 1 MI SO OF GUADALUPE</t>
  </si>
  <si>
    <t>T012001C</t>
  </si>
  <si>
    <t>TMP18-460</t>
  </si>
  <si>
    <t>TEMPE (CITYWIDE) ITS PH I</t>
  </si>
  <si>
    <t>T013101C</t>
  </si>
  <si>
    <t>PORTER RD: FARRELL RD TO 1.9 MI SOUTH, FARRELL</t>
  </si>
  <si>
    <t>T014301C</t>
  </si>
  <si>
    <t>PHX19-741</t>
  </si>
  <si>
    <t>VARIOUS LOCATIONS IN PHOENIX</t>
  </si>
  <si>
    <t>347</t>
  </si>
  <si>
    <t>T015101C</t>
  </si>
  <si>
    <t>VARIOUS ALLEYS IN PHOENIX</t>
  </si>
  <si>
    <t>350</t>
  </si>
  <si>
    <t>CHN19-760</t>
  </si>
  <si>
    <t>BICYCLE DETECTION SYSTEM-CITYWIDE -40 SIGNALIZED INTERSECTIONS ALONG CHANDLER BLVD AND RAY RD</t>
  </si>
  <si>
    <t>T019701X</t>
  </si>
  <si>
    <t>T006201C</t>
  </si>
  <si>
    <t>BKY17-401</t>
  </si>
  <si>
    <t>BUCKEYE</t>
  </si>
  <si>
    <t>LOWER BUCKEYE RD; WATSON TO 228TH AVE</t>
  </si>
  <si>
    <t>BKY</t>
  </si>
  <si>
    <t>213</t>
  </si>
  <si>
    <t>T006201D</t>
  </si>
  <si>
    <t>BKY17-401D</t>
  </si>
  <si>
    <t>LOWER BUCKEYE RD - WATSON TO 228TH AVE</t>
  </si>
  <si>
    <t>T018901C</t>
  </si>
  <si>
    <t>Honeycutt Fiber Optic Comm ITS Project-6 Signals</t>
  </si>
  <si>
    <t>PMG1901P</t>
  </si>
  <si>
    <t>MAG 2019 WP - SPR</t>
  </si>
  <si>
    <t>S</t>
  </si>
  <si>
    <t>T012601X</t>
  </si>
  <si>
    <t>PHX17-471</t>
  </si>
  <si>
    <t>CREIGHTON ELEMENTARY</t>
  </si>
  <si>
    <t>339</t>
  </si>
  <si>
    <t>T009801X</t>
  </si>
  <si>
    <t>PHX17-470</t>
  </si>
  <si>
    <t>CREIGHTON SCHOOL DISTRICT/BILTMORE PREPARATORY</t>
  </si>
  <si>
    <t>336</t>
  </si>
  <si>
    <t>T003101C</t>
  </si>
  <si>
    <t>GLN18-401 / 401C2</t>
  </si>
  <si>
    <t>CITYWIDE VARIOUS LOCATIONS - FLASHING YELLOW ARROWS</t>
  </si>
  <si>
    <t>252</t>
  </si>
  <si>
    <t>SZ12101C</t>
  </si>
  <si>
    <t>MES 15-461</t>
  </si>
  <si>
    <t>CITY OF MESA (CITYWIDE), RADIO UPGRADE</t>
  </si>
  <si>
    <t>228</t>
  </si>
  <si>
    <t>SS88103D</t>
  </si>
  <si>
    <t>MMA13-105PDZ</t>
  </si>
  <si>
    <t>MCKELLIPS RD SR 101 - ALMA SCHL</t>
  </si>
  <si>
    <t>MMA18-701 / 19-702</t>
  </si>
  <si>
    <t>MMA18-702 / 19-703</t>
  </si>
  <si>
    <t>PMG1906P</t>
  </si>
  <si>
    <t>MAG 2019 WP - STP Fund</t>
  </si>
  <si>
    <t>Q</t>
  </si>
  <si>
    <t>PMG1903P</t>
  </si>
  <si>
    <t>T</t>
  </si>
  <si>
    <t>Federal Fiscal Year 2019</t>
  </si>
  <si>
    <t>T013601C</t>
  </si>
  <si>
    <t>MAG# GDY18-460/460C2</t>
  </si>
  <si>
    <t>GOODYEAR</t>
  </si>
  <si>
    <t>ELWOOD ST: COTTON LN TO ESTRELLA PKWY, COTTON LN: ESTRELLA PKWY TO ELWOOD ST, ESTRELLA PKWY: ELLIOT RD TO COTTON LN, ELLIOT RD: SAN GABRIEL DR TO ESTRELLA PKWY</t>
  </si>
  <si>
    <t>GDY</t>
  </si>
  <si>
    <t>211</t>
  </si>
  <si>
    <t>SS85403D</t>
  </si>
  <si>
    <t>BELL RDCONSTRUCT-MU PATH &amp; R/W -US 60 TO 114TH AVE</t>
  </si>
  <si>
    <t>210</t>
  </si>
  <si>
    <t>GDL19-805D</t>
  </si>
  <si>
    <t>GUADALUPE</t>
  </si>
  <si>
    <t>AVENIDA DEL YAQUI: BASELINE RD TO CALLE CARMEN</t>
  </si>
  <si>
    <t>GUA</t>
  </si>
  <si>
    <t>GLN18-801D</t>
  </si>
  <si>
    <t>MARYLAND AVE: 69TH AVE TO 75TH AVE</t>
  </si>
  <si>
    <t>MAG19-701 / MAG19-701C2 / MAG19-702C3</t>
  </si>
  <si>
    <t>MAR19-801D</t>
  </si>
  <si>
    <t>SMITH ENKE TO EDISON POINTE</t>
  </si>
  <si>
    <t>AVN17-406 / AVN17-406C</t>
  </si>
  <si>
    <t>SZ03901C</t>
  </si>
  <si>
    <t>FTH14-102 / 102C2</t>
  </si>
  <si>
    <t>FOUNTAIN HILLS</t>
  </si>
  <si>
    <t>FOUNTAIN HILLS BLVD; SEGUNDO DR TO PINTO DR</t>
  </si>
  <si>
    <t>FTH</t>
  </si>
  <si>
    <t>SZ04103D</t>
  </si>
  <si>
    <t>FLORENCE</t>
  </si>
  <si>
    <t>FL0</t>
  </si>
  <si>
    <t>201</t>
  </si>
  <si>
    <t>PHX15-463</t>
  </si>
  <si>
    <t>Various Locations Citywide Phoenix</t>
  </si>
  <si>
    <t>SZ15701C</t>
  </si>
  <si>
    <t>CHN16-402</t>
  </si>
  <si>
    <t>WESTERN CANAL CROSSING IMPROVEMENT</t>
  </si>
  <si>
    <t>SZ18301C</t>
  </si>
  <si>
    <t>APJ17-401 / APJ17-401C2 / APJ17-401C3</t>
  </si>
  <si>
    <t>APACHE JUNCTION</t>
  </si>
  <si>
    <t>WINCHESTER ROAD: SOUTHERN AVENUE TO 16TH AVENUE</t>
  </si>
  <si>
    <t>APJ</t>
  </si>
  <si>
    <t>212</t>
  </si>
  <si>
    <t>RURAL RD AND SOUTHERN AVE</t>
  </si>
  <si>
    <t>247</t>
  </si>
  <si>
    <t>T006101C</t>
  </si>
  <si>
    <t>SOUTHERN AVE - DELAWARE DR TO IRONWOOD DR</t>
  </si>
  <si>
    <t>T007101C</t>
  </si>
  <si>
    <t>GLN20-740 / GLN20-740C / GLN20-740C2</t>
  </si>
  <si>
    <t>67TH AVE - GLENDALE AVE TO ORANGEWOOD AVE</t>
  </si>
  <si>
    <t>257</t>
  </si>
  <si>
    <t>PVY19-740 / PVY1-740C2</t>
  </si>
  <si>
    <t>T008601C</t>
  </si>
  <si>
    <t>MAG# MAR15-402 / 402C2 / 402C3</t>
  </si>
  <si>
    <t>MCG Highway: Porter Road to White and Parker</t>
  </si>
  <si>
    <t>206</t>
  </si>
  <si>
    <t>MMA19-701C / MMA19-701C2</t>
  </si>
  <si>
    <t>T010801X</t>
  </si>
  <si>
    <t>T013001C</t>
  </si>
  <si>
    <t>PHOENIX (CITYWIDE) - CENTRAL CORE ARID - PHASES 1 &amp; 2</t>
  </si>
  <si>
    <t>349</t>
  </si>
  <si>
    <t>PHX19-701C / PHX19-701C1</t>
  </si>
  <si>
    <t>T016601X</t>
  </si>
  <si>
    <t>T018401D</t>
  </si>
  <si>
    <t>PNL19-201D</t>
  </si>
  <si>
    <t>SMITH RD: SR84 TO KORSTEN RD   KORSTEN RD: SR347 TO SMITH RD</t>
  </si>
  <si>
    <t>218</t>
  </si>
  <si>
    <t>T018403D</t>
  </si>
  <si>
    <t>T018701C</t>
  </si>
  <si>
    <t>CHN21-803C / CHN21-803C1</t>
  </si>
  <si>
    <t>MCCLINTOCK DR: SR 202L TO TEMPE BORDER  KYRENE RD: CHANDLER BLVD TO TEMPE BORDER</t>
  </si>
  <si>
    <t>243</t>
  </si>
  <si>
    <t>SZ09103D</t>
  </si>
  <si>
    <t>MMA14-112DZ/MMA15-112DZ/MMA16-112DZ</t>
  </si>
  <si>
    <t>NORTHERN PKWY: 99TH AVE TO EAST LOOP 101 RAMPS</t>
  </si>
  <si>
    <t>248</t>
  </si>
  <si>
    <t>T008601D</t>
  </si>
  <si>
    <t>MAR14-403</t>
  </si>
  <si>
    <t>SZ06501C</t>
  </si>
  <si>
    <t>MMA14-101</t>
  </si>
  <si>
    <t>AZTECH CENTER TO CENTER TMS UPGRADE RADS</t>
  </si>
  <si>
    <t>T009201C</t>
  </si>
  <si>
    <t>RIO SALADO SUP AT MCCLINTOCK DR BRIDGE UNDERPASS</t>
  </si>
  <si>
    <t>SRP20-201D</t>
  </si>
  <si>
    <t xml:space="preserve">SALT RVR PIMA-MARICOPA INDIAN </t>
  </si>
  <si>
    <t>VARIOUS ROADWAYS ON THE SRPMIC</t>
  </si>
  <si>
    <t>SRI</t>
  </si>
  <si>
    <t>MAG19-702 / MAG19-703 / MAG19-704</t>
  </si>
  <si>
    <t>SH63301C</t>
  </si>
  <si>
    <t>PVY16-401</t>
  </si>
  <si>
    <t>SIGN UPGRADE, PARADISE VALLEY VARIOUS LOCATIONS</t>
  </si>
  <si>
    <t>203</t>
  </si>
  <si>
    <t>T021203D</t>
  </si>
  <si>
    <t>T021301D</t>
  </si>
  <si>
    <t>H864201X</t>
  </si>
  <si>
    <t>40016/DOT16-420</t>
  </si>
  <si>
    <t>LITCHFIELD TO 83RD AVE</t>
  </si>
  <si>
    <t>010</t>
  </si>
  <si>
    <t>B</t>
  </si>
  <si>
    <t>H864201C</t>
  </si>
  <si>
    <t>LITCHFIELD RD - 83RD AVE</t>
  </si>
  <si>
    <t>MAG 2019 WP - CMAQ NO MATCH</t>
  </si>
  <si>
    <t>APJ20-701 / APJ20-701C</t>
  </si>
  <si>
    <t>GLN19-760 / GLN19-760C2</t>
  </si>
  <si>
    <t>TMP18-442 / TMP18-442C</t>
  </si>
  <si>
    <t>GLB19-740 / GLB19-740C</t>
  </si>
  <si>
    <t>MAR19-760 / MAR19-760C</t>
  </si>
  <si>
    <t>HIP &gt;200</t>
  </si>
  <si>
    <t>Highway Infrastrucure Pgm</t>
  </si>
  <si>
    <t>SH63303D</t>
  </si>
  <si>
    <t>SZ06603D</t>
  </si>
  <si>
    <t xml:space="preserve">VARIOUS LOW VOLUME ROADS                          </t>
  </si>
  <si>
    <t>SZ06601C</t>
  </si>
  <si>
    <t>MMA14-103</t>
  </si>
  <si>
    <t>VARIOUS LOW VOLUME ROADS, MARICOPA COUNTY</t>
  </si>
  <si>
    <t>SZ14301C</t>
  </si>
  <si>
    <t>GLN16-402</t>
  </si>
  <si>
    <t>GLENDALE DATA COLLECTION, VARIOUS LOCATIONS</t>
  </si>
  <si>
    <t>249</t>
  </si>
  <si>
    <t>SH54901C</t>
  </si>
  <si>
    <t>LPK13-100 / LPK14-100</t>
  </si>
  <si>
    <t>LITCHFIELD PARK</t>
  </si>
  <si>
    <t>LITCHFIELD PARK,VARIOUS,SIGN MNGMNT-UPGRADE</t>
  </si>
  <si>
    <t>LPK</t>
  </si>
  <si>
    <t>SH54903D</t>
  </si>
  <si>
    <t>VARIOUS LOCATIONS IN LITCHFIELD PARK</t>
  </si>
  <si>
    <t>SZ17201X</t>
  </si>
  <si>
    <t>PHX15-446CRI</t>
  </si>
  <si>
    <t>REGIONAL BIKE SHARE, PHOENIX</t>
  </si>
  <si>
    <t>300</t>
  </si>
  <si>
    <t>FLO13-01D / FLO19-802</t>
  </si>
  <si>
    <t>SR287 TO SR79B</t>
  </si>
  <si>
    <t>PMG1910P</t>
  </si>
  <si>
    <t>MAG TA BIKEPED</t>
  </si>
  <si>
    <t>PMG1915P</t>
  </si>
  <si>
    <t>U</t>
  </si>
  <si>
    <t>SZ09501C</t>
  </si>
  <si>
    <t>BKY15-431C</t>
  </si>
  <si>
    <t>Watson Rd. :650 N of Van Buren to McDowell</t>
  </si>
  <si>
    <t>SZ09503D</t>
  </si>
  <si>
    <t>BKY15-4315</t>
  </si>
  <si>
    <t>SZ10201C</t>
  </si>
  <si>
    <t>PHX 15-441C STIP Amend #18</t>
  </si>
  <si>
    <t>Roosevelt St. from 4th St. to 7th St. in Phoenix</t>
  </si>
  <si>
    <t>288</t>
  </si>
  <si>
    <t>T018601D</t>
  </si>
  <si>
    <t>PNL19-804</t>
  </si>
  <si>
    <t>RUSSELL RD; SR 84 TO ARICA</t>
  </si>
  <si>
    <t>219</t>
  </si>
  <si>
    <t>T018603D</t>
  </si>
  <si>
    <t xml:space="preserve"> </t>
  </si>
  <si>
    <t>T022201X</t>
  </si>
  <si>
    <t>SZ15701X</t>
  </si>
  <si>
    <t>T017201X</t>
  </si>
  <si>
    <t>SRTS ACA, Imagine Prep, and Imagine Rosefield Elementary</t>
  </si>
  <si>
    <t>T017301X</t>
  </si>
  <si>
    <t>SRTS Kingswood, West Point, and Sonoran Heights Elementary</t>
  </si>
  <si>
    <t>233</t>
  </si>
  <si>
    <t>T017401X</t>
  </si>
  <si>
    <t>SRTS Ashton Ranch, Countryside, Parkview Elementary</t>
  </si>
  <si>
    <t>234</t>
  </si>
  <si>
    <t>SZ17101C</t>
  </si>
  <si>
    <t>TMP16-404</t>
  </si>
  <si>
    <t>PRIEST DRIVE UNDERPASS SUP</t>
  </si>
  <si>
    <t>GRC20-701</t>
  </si>
  <si>
    <t>GILBERT ROAD: HUNT HIGHWAY TO SR-87</t>
  </si>
  <si>
    <t>202</t>
  </si>
  <si>
    <t>T004801C</t>
  </si>
  <si>
    <t>TMP18-402 / 18-402C2</t>
  </si>
  <si>
    <t>PMG1908P</t>
  </si>
  <si>
    <t>2019 MAG UPWP TAP FOR SRTS</t>
  </si>
  <si>
    <t>R</t>
  </si>
  <si>
    <t xml:space="preserve">GILA RIVER INDIAN COMMUNITY   </t>
  </si>
  <si>
    <t>GRI</t>
  </si>
  <si>
    <t>FY 2019 STPBG MAG Work Program</t>
  </si>
  <si>
    <t>SUR18-705 / SUR19-702</t>
  </si>
  <si>
    <t>SUR18-702 / SUR19-703</t>
  </si>
  <si>
    <t>SUR18-704 / SUR19-704</t>
  </si>
  <si>
    <t>SZ09901C</t>
  </si>
  <si>
    <t>PHX15-461</t>
  </si>
  <si>
    <t>285</t>
  </si>
  <si>
    <t>Transfer</t>
  </si>
  <si>
    <t>MAG19-780P</t>
  </si>
  <si>
    <t>MAGFTA19A</t>
  </si>
  <si>
    <t>MAG STBGP TO FTA</t>
  </si>
  <si>
    <t>T022801C</t>
  </si>
  <si>
    <t>360</t>
  </si>
  <si>
    <t>MAR18-701/C2</t>
  </si>
  <si>
    <t>T022101D</t>
  </si>
  <si>
    <t>260</t>
  </si>
  <si>
    <t>PMG1711P</t>
  </si>
  <si>
    <t>MAG17-431</t>
  </si>
  <si>
    <t>FFY 2017 STREET SWEEPERS</t>
  </si>
  <si>
    <t>C</t>
  </si>
  <si>
    <t>171</t>
  </si>
  <si>
    <t>205</t>
  </si>
  <si>
    <t>ADOTSRPMIC-19T1</t>
  </si>
  <si>
    <t>SRP19-801</t>
  </si>
  <si>
    <t>FY 2019 STREET SWEEPERS</t>
  </si>
  <si>
    <t>TRA</t>
  </si>
  <si>
    <t>T022601X</t>
  </si>
  <si>
    <t>SCT20-708</t>
  </si>
  <si>
    <t>CITYWIDE</t>
  </si>
  <si>
    <t>SZ04101R</t>
  </si>
  <si>
    <t>FLO19-802R</t>
  </si>
  <si>
    <t>SR 287 AND SR 79B</t>
  </si>
  <si>
    <t>SUR 19-705 / AVN19-702 / AVN20-704 / 20-704C</t>
  </si>
  <si>
    <t>F012101C</t>
  </si>
  <si>
    <t>ADOT# 9157 / MAG# DOT18-838</t>
  </si>
  <si>
    <t>101 PIMA, I-17 TO PIMA</t>
  </si>
  <si>
    <t>101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</si>
</sst>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quot;$&quot;#,##0.00"/>
    <numFmt numFmtId="165" formatCode="mm/dd/yy;@"/>
    <numFmt numFmtId="166" formatCode="mm/dd/yyyy"/>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name val="Arial Unicode MS"/>
      <family val="2"/>
    </font>
    <font>
      <sz val="9"/>
      <color theme="1"/>
      <name val="Arial Unicode MS"/>
      <family val="2"/>
    </font>
    <font>
      <b/>
      <sz val="10"/>
      <color theme="1"/>
      <name val="Arial Unicode MS"/>
      <family val="2"/>
    </font>
    <font>
      <sz val="10"/>
      <color theme="1"/>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b/>
      <sz val="14"/>
      <name val="Calibri"/>
      <family val="2"/>
      <scheme val="minor"/>
    </font>
    <font>
      <sz val="12"/>
      <name val="Times New Roman"/>
      <family val="1"/>
    </font>
    <font>
      <sz val="8"/>
      <name val="Arial"/>
      <family val="2"/>
    </font>
    <font>
      <b/>
      <sz val="9"/>
      <color theme="0"/>
      <name val="Arial Unicode MS"/>
      <family val="2"/>
    </font>
    <font>
      <sz val="9"/>
      <color rgb="FFFF0000"/>
      <name val="Arial Unicode MS"/>
      <family val="2"/>
    </font>
    <font>
      <b/>
      <sz val="9"/>
      <color rgb="FFFF0000"/>
      <name val="Arial Unicode MS"/>
      <family val="2"/>
    </font>
    <font>
      <b/>
      <sz val="11"/>
      <color rgb="FFFF0000"/>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9"/>
      <color theme="1"/>
      <name val="Arial Unicode MS"/>
      <family val="2"/>
    </font>
    <font>
      <sz val="10"/>
      <color theme="0"/>
      <name val="Arial Unicode MS"/>
      <family val="2"/>
    </font>
    <font>
      <sz val="9"/>
      <color theme="1"/>
      <name val="Arial Unicode MS"/>
      <family val="2"/>
    </font>
    <font>
      <sz val="9"/>
      <color theme="1"/>
      <name val="Arial Unicode MS"/>
      <family val="2"/>
    </font>
    <font>
      <sz val="11"/>
      <color theme="1"/>
      <name val="Calibri"/>
      <family val="2"/>
      <scheme val="minor"/>
    </font>
    <font>
      <sz val="9"/>
      <color theme="1"/>
      <name val="Arial Unicode MS"/>
      <family val="2"/>
    </font>
    <font>
      <sz val="9"/>
      <color indexed="81"/>
      <name val="Tahoma"/>
      <family val="2"/>
    </font>
    <font>
      <b/>
      <sz val="9"/>
      <color indexed="81"/>
      <name val="Tahoma"/>
      <family val="2"/>
    </font>
    <font>
      <sz val="9"/>
      <color theme="1"/>
      <name val="Arial Unicode MS"/>
      <family val="2"/>
    </font>
    <font>
      <sz val="9"/>
      <color theme="1"/>
      <name val="Arial Unicode MS"/>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E4DFEC"/>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s>
  <cellStyleXfs count="7">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xf numFmtId="0" fontId="27" fillId="0" borderId="0"/>
    <xf numFmtId="0" fontId="28" fillId="0" borderId="0"/>
    <xf numFmtId="43" fontId="28" fillId="0" borderId="0" applyFont="0" applyFill="0" applyBorder="0" applyAlignment="0" applyProtection="0"/>
  </cellStyleXfs>
  <cellXfs count="273">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9"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4" fillId="0" borderId="0" xfId="0" applyFont="1" applyFill="1" applyAlignment="1">
      <alignment vertical="top" wrapText="1"/>
    </xf>
    <xf numFmtId="0" fontId="16" fillId="0" borderId="0" xfId="0" applyFont="1" applyAlignment="1">
      <alignment vertical="top" wrapText="1"/>
    </xf>
    <xf numFmtId="40" fontId="21" fillId="0" borderId="0" xfId="0" applyNumberFormat="1" applyFont="1" applyFill="1" applyBorder="1" applyAlignment="1">
      <alignmen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4" fillId="0" borderId="0" xfId="0" applyNumberFormat="1" applyFont="1" applyFill="1" applyBorder="1" applyAlignment="1">
      <alignment vertical="top" wrapText="1"/>
    </xf>
    <xf numFmtId="164" fontId="14" fillId="0" borderId="0" xfId="0" applyNumberFormat="1" applyFont="1" applyBorder="1" applyAlignment="1">
      <alignment vertical="top" wrapText="1"/>
    </xf>
    <xf numFmtId="0" fontId="14" fillId="0" borderId="0" xfId="0" applyFont="1" applyBorder="1" applyAlignment="1">
      <alignment vertical="top" wrapText="1"/>
    </xf>
    <xf numFmtId="40" fontId="14" fillId="0" borderId="0" xfId="0" applyNumberFormat="1" applyFont="1" applyBorder="1" applyAlignment="1">
      <alignment vertical="top" wrapText="1"/>
    </xf>
    <xf numFmtId="0" fontId="19"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40" fontId="21" fillId="0" borderId="0" xfId="0" applyNumberFormat="1" applyFont="1" applyBorder="1" applyAlignment="1">
      <alignment horizontal="center" vertical="center" wrapText="1"/>
    </xf>
    <xf numFmtId="40" fontId="19" fillId="0" borderId="0" xfId="0" applyNumberFormat="1" applyFont="1" applyBorder="1" applyAlignment="1">
      <alignment vertical="top" wrapText="1"/>
    </xf>
    <xf numFmtId="14" fontId="0" fillId="0" borderId="0" xfId="3" applyNumberFormat="1" applyFont="1" applyAlignment="1">
      <alignment horizontal="left" vertical="center" wrapText="1"/>
    </xf>
    <xf numFmtId="40" fontId="18" fillId="0" borderId="2" xfId="1" applyNumberFormat="1" applyFont="1" applyFill="1" applyBorder="1" applyAlignment="1">
      <alignment horizontal="center" vertical="center" wrapText="1"/>
    </xf>
    <xf numFmtId="43" fontId="13" fillId="0" borderId="0" xfId="3" applyFont="1" applyBorder="1"/>
    <xf numFmtId="43" fontId="0" fillId="0" borderId="5" xfId="3" applyFont="1" applyBorder="1"/>
    <xf numFmtId="43" fontId="0" fillId="0" borderId="2" xfId="3" applyFont="1" applyBorder="1"/>
    <xf numFmtId="43" fontId="0" fillId="0" borderId="6" xfId="3" applyFont="1" applyBorder="1"/>
    <xf numFmtId="40" fontId="23" fillId="0" borderId="0" xfId="3" applyNumberFormat="1" applyFont="1" applyBorder="1" applyAlignment="1">
      <alignment horizontal="right" vertical="top" wrapText="1"/>
    </xf>
    <xf numFmtId="14" fontId="14" fillId="0" borderId="0" xfId="0" applyNumberFormat="1" applyFont="1" applyAlignment="1">
      <alignment horizontal="center" vertical="center" wrapText="1"/>
    </xf>
    <xf numFmtId="14" fontId="14" fillId="0" borderId="0" xfId="0" applyNumberFormat="1" applyFont="1" applyBorder="1" applyAlignment="1">
      <alignment horizontal="center" vertical="center" wrapText="1"/>
    </xf>
    <xf numFmtId="14" fontId="22" fillId="0" borderId="0" xfId="0" applyNumberFormat="1" applyFont="1" applyBorder="1" applyAlignment="1">
      <alignment horizontal="center" vertical="center" wrapText="1"/>
    </xf>
    <xf numFmtId="40" fontId="14" fillId="0" borderId="0" xfId="0" applyNumberFormat="1" applyFont="1" applyFill="1" applyAlignment="1">
      <alignment vertical="top" wrapText="1"/>
    </xf>
    <xf numFmtId="40" fontId="14" fillId="0" borderId="0" xfId="0" quotePrefix="1" applyNumberFormat="1" applyFont="1" applyAlignment="1">
      <alignment vertical="top" wrapText="1"/>
    </xf>
    <xf numFmtId="43" fontId="2" fillId="0" borderId="0" xfId="3" applyFont="1"/>
    <xf numFmtId="43" fontId="0" fillId="0" borderId="0" xfId="3" applyFont="1" applyAlignment="1">
      <alignment horizontal="center"/>
    </xf>
    <xf numFmtId="43" fontId="0" fillId="0" borderId="0" xfId="3" applyFont="1"/>
    <xf numFmtId="49" fontId="0" fillId="0" borderId="0" xfId="3" applyNumberFormat="1" applyFont="1"/>
    <xf numFmtId="0" fontId="21" fillId="0" borderId="0" xfId="0" applyFont="1" applyBorder="1" applyAlignment="1">
      <alignment horizontal="center" vertical="top" wrapText="1"/>
    </xf>
    <xf numFmtId="0" fontId="21" fillId="0" borderId="0" xfId="0" applyFont="1" applyFill="1" applyBorder="1" applyAlignment="1">
      <alignment horizontal="center" vertical="top" wrapText="1"/>
    </xf>
    <xf numFmtId="40" fontId="17" fillId="0" borderId="0" xfId="0" applyNumberFormat="1" applyFont="1" applyFill="1" applyBorder="1" applyAlignment="1">
      <alignment horizontal="center" vertical="top" wrapText="1"/>
    </xf>
    <xf numFmtId="14" fontId="17" fillId="0" borderId="0" xfId="0" applyNumberFormat="1" applyFont="1" applyFill="1" applyBorder="1" applyAlignment="1">
      <alignment horizontal="center" vertical="top" wrapText="1"/>
    </xf>
    <xf numFmtId="14" fontId="22" fillId="0" borderId="11" xfId="0" applyNumberFormat="1" applyFont="1" applyBorder="1" applyAlignment="1">
      <alignment horizontal="center" vertical="top" wrapText="1"/>
    </xf>
    <xf numFmtId="14" fontId="22" fillId="0" borderId="13" xfId="0" applyNumberFormat="1" applyFont="1" applyBorder="1" applyAlignment="1">
      <alignment horizontal="center" vertical="top" wrapText="1"/>
    </xf>
    <xf numFmtId="14" fontId="21" fillId="0" borderId="0" xfId="0" applyNumberFormat="1" applyFont="1" applyFill="1" applyBorder="1" applyAlignment="1">
      <alignment horizontal="center" vertical="top" wrapText="1"/>
    </xf>
    <xf numFmtId="40" fontId="21" fillId="0" borderId="0" xfId="0" applyNumberFormat="1" applyFont="1" applyFill="1" applyBorder="1" applyAlignment="1">
      <alignment horizontal="center" vertical="top" wrapText="1"/>
    </xf>
    <xf numFmtId="40" fontId="19" fillId="0" borderId="0" xfId="0" applyNumberFormat="1" applyFont="1" applyBorder="1" applyAlignment="1">
      <alignment horizontal="center" vertical="top" wrapText="1"/>
    </xf>
    <xf numFmtId="40" fontId="17" fillId="0" borderId="0" xfId="0" applyNumberFormat="1" applyFont="1" applyBorder="1" applyAlignment="1">
      <alignment horizontal="center" vertical="top" wrapText="1"/>
    </xf>
    <xf numFmtId="14" fontId="21" fillId="0" borderId="0" xfId="0" applyNumberFormat="1" applyFont="1" applyBorder="1" applyAlignment="1">
      <alignment horizontal="center" vertical="top" wrapText="1"/>
    </xf>
    <xf numFmtId="14" fontId="19" fillId="0" borderId="0" xfId="0" applyNumberFormat="1" applyFont="1" applyBorder="1" applyAlignment="1">
      <alignment horizontal="center" vertical="top" wrapText="1"/>
    </xf>
    <xf numFmtId="14" fontId="19" fillId="0" borderId="0" xfId="0" applyNumberFormat="1" applyFont="1" applyFill="1" applyBorder="1" applyAlignment="1">
      <alignment horizontal="center" vertical="top" wrapText="1"/>
    </xf>
    <xf numFmtId="40" fontId="19" fillId="0" borderId="0" xfId="0" applyNumberFormat="1" applyFont="1" applyFill="1" applyBorder="1" applyAlignment="1">
      <alignment horizontal="center" vertical="top" wrapText="1"/>
    </xf>
    <xf numFmtId="14" fontId="14" fillId="0" borderId="0" xfId="0" applyNumberFormat="1" applyFont="1" applyBorder="1" applyAlignment="1">
      <alignment horizontal="center" vertical="top" wrapText="1"/>
    </xf>
    <xf numFmtId="14" fontId="20" fillId="0" borderId="0" xfId="0" applyNumberFormat="1" applyFont="1" applyBorder="1" applyAlignment="1">
      <alignment horizontal="center" vertical="top" wrapText="1"/>
    </xf>
    <xf numFmtId="40" fontId="18" fillId="0" borderId="5" xfId="1" applyNumberFormat="1" applyFont="1" applyBorder="1" applyAlignment="1">
      <alignment horizontal="center" vertical="top" wrapText="1"/>
    </xf>
    <xf numFmtId="40" fontId="18" fillId="0" borderId="2" xfId="1" applyNumberFormat="1" applyFont="1" applyBorder="1" applyAlignment="1">
      <alignment horizontal="center" vertical="top" wrapText="1"/>
    </xf>
    <xf numFmtId="40" fontId="18" fillId="0" borderId="11" xfId="1" applyNumberFormat="1" applyFont="1" applyBorder="1" applyAlignment="1">
      <alignment horizontal="center" vertical="top" wrapText="1"/>
    </xf>
    <xf numFmtId="40" fontId="18" fillId="0" borderId="12" xfId="1" applyNumberFormat="1" applyFont="1" applyBorder="1" applyAlignment="1">
      <alignment horizontal="center" vertical="top" wrapText="1"/>
    </xf>
    <xf numFmtId="40" fontId="18" fillId="2" borderId="15" xfId="1" applyNumberFormat="1" applyFont="1" applyFill="1" applyBorder="1" applyAlignment="1">
      <alignment horizontal="center" vertical="top" wrapText="1"/>
    </xf>
    <xf numFmtId="0" fontId="19" fillId="0" borderId="0" xfId="0" applyFont="1" applyBorder="1" applyAlignment="1">
      <alignment horizontal="center" vertical="center" wrapText="1"/>
    </xf>
    <xf numFmtId="0" fontId="19" fillId="0" borderId="0" xfId="0" applyFont="1" applyAlignment="1">
      <alignment vertical="top" wrapText="1"/>
    </xf>
    <xf numFmtId="0" fontId="19" fillId="0" borderId="0" xfId="0" applyFont="1" applyBorder="1" applyAlignment="1">
      <alignment horizontal="center" vertical="top" wrapText="1"/>
    </xf>
    <xf numFmtId="0" fontId="19" fillId="0" borderId="0" xfId="0" applyFont="1" applyFill="1" applyBorder="1" applyAlignment="1">
      <alignment horizontal="center" vertical="top" wrapText="1"/>
    </xf>
    <xf numFmtId="40" fontId="29" fillId="0" borderId="0" xfId="0" applyNumberFormat="1" applyFont="1" applyFill="1" applyBorder="1" applyAlignment="1">
      <alignment horizontal="center" vertical="top" wrapText="1"/>
    </xf>
    <xf numFmtId="14" fontId="29" fillId="0" borderId="0" xfId="0" applyNumberFormat="1" applyFont="1" applyFill="1" applyBorder="1" applyAlignment="1">
      <alignment horizontal="center" vertical="top" wrapText="1"/>
    </xf>
    <xf numFmtId="0" fontId="22" fillId="0" borderId="0" xfId="0" applyFont="1" applyAlignment="1">
      <alignment horizontal="left" vertical="top" wrapText="1"/>
    </xf>
    <xf numFmtId="14" fontId="19" fillId="0" borderId="0" xfId="0" applyNumberFormat="1" applyFont="1" applyAlignment="1">
      <alignment horizontal="center" vertical="center" wrapText="1"/>
    </xf>
    <xf numFmtId="14" fontId="19" fillId="0" borderId="0" xfId="0" applyNumberFormat="1" applyFont="1" applyAlignment="1">
      <alignment horizontal="left" vertical="center" wrapText="1"/>
    </xf>
    <xf numFmtId="0" fontId="14" fillId="0" borderId="0" xfId="0" applyFont="1" applyAlignment="1">
      <alignment vertical="center" wrapText="1"/>
    </xf>
    <xf numFmtId="14" fontId="14" fillId="0" borderId="0" xfId="0" applyNumberFormat="1" applyFont="1" applyAlignment="1">
      <alignment vertical="center" wrapText="1"/>
    </xf>
    <xf numFmtId="43" fontId="19" fillId="0" borderId="7" xfId="3" applyFont="1" applyBorder="1"/>
    <xf numFmtId="43" fontId="19" fillId="0" borderId="1" xfId="3" applyFont="1" applyBorder="1"/>
    <xf numFmtId="43" fontId="19" fillId="0" borderId="0" xfId="3" applyFont="1" applyBorder="1"/>
    <xf numFmtId="0" fontId="19" fillId="0" borderId="0" xfId="0" applyFont="1" applyBorder="1"/>
    <xf numFmtId="43" fontId="19" fillId="0" borderId="8" xfId="3" applyFont="1" applyBorder="1"/>
    <xf numFmtId="43" fontId="19" fillId="0" borderId="3" xfId="3" applyFont="1" applyBorder="1"/>
    <xf numFmtId="43" fontId="19" fillId="0" borderId="0" xfId="3" applyFont="1"/>
    <xf numFmtId="43" fontId="13" fillId="0" borderId="0" xfId="3" applyFont="1" applyBorder="1" applyAlignment="1">
      <alignment wrapText="1"/>
    </xf>
    <xf numFmtId="0" fontId="0" fillId="0" borderId="0" xfId="0" applyBorder="1" applyAlignment="1">
      <alignment wrapText="1"/>
    </xf>
    <xf numFmtId="43" fontId="33" fillId="0" borderId="0" xfId="3" applyFont="1"/>
    <xf numFmtId="43" fontId="33" fillId="0" borderId="7" xfId="3" applyFont="1" applyBorder="1"/>
    <xf numFmtId="43" fontId="33" fillId="0" borderId="1" xfId="3" applyFont="1" applyBorder="1"/>
    <xf numFmtId="43" fontId="33" fillId="0" borderId="8" xfId="3" applyFont="1" applyBorder="1"/>
    <xf numFmtId="43" fontId="33" fillId="0" borderId="3" xfId="3" applyFont="1" applyBorder="1"/>
    <xf numFmtId="43" fontId="0" fillId="0" borderId="0" xfId="3" applyFont="1" applyAlignment="1">
      <alignment horizontal="left"/>
    </xf>
    <xf numFmtId="43" fontId="1" fillId="0" borderId="0" xfId="3" applyFont="1"/>
    <xf numFmtId="0" fontId="0" fillId="0" borderId="0" xfId="0" applyAlignment="1">
      <alignment vertical="top"/>
    </xf>
    <xf numFmtId="0" fontId="19" fillId="0" borderId="0" xfId="0" applyFont="1" applyAlignment="1">
      <alignment horizontal="left" vertical="top" wrapText="1"/>
    </xf>
    <xf numFmtId="40" fontId="35" fillId="0" borderId="0" xfId="0" applyNumberFormat="1" applyFont="1" applyAlignment="1">
      <alignment vertical="top" wrapText="1"/>
    </xf>
    <xf numFmtId="40" fontId="19" fillId="0" borderId="0" xfId="0" applyNumberFormat="1" applyFont="1" applyAlignment="1">
      <alignment horizontal="right" vertical="top" wrapText="1"/>
    </xf>
    <xf numFmtId="40" fontId="19" fillId="0" borderId="18" xfId="0" applyNumberFormat="1" applyFont="1" applyBorder="1" applyAlignment="1">
      <alignment horizontal="right" vertical="top" wrapText="1"/>
    </xf>
    <xf numFmtId="0" fontId="14" fillId="0" borderId="0" xfId="0" applyFont="1" applyAlignment="1">
      <alignment vertical="center"/>
    </xf>
    <xf numFmtId="0" fontId="0" fillId="0" borderId="0" xfId="0" applyAlignment="1">
      <alignment horizontal="left" vertical="top" wrapText="1"/>
    </xf>
    <xf numFmtId="43" fontId="36" fillId="0" borderId="0" xfId="3" applyFont="1"/>
    <xf numFmtId="43" fontId="36" fillId="0" borderId="7" xfId="3" applyFont="1" applyBorder="1"/>
    <xf numFmtId="43" fontId="36" fillId="0" borderId="8" xfId="3" applyFont="1" applyBorder="1"/>
    <xf numFmtId="43" fontId="36" fillId="0" borderId="1" xfId="3" applyFont="1" applyBorder="1"/>
    <xf numFmtId="43" fontId="36" fillId="0" borderId="3" xfId="3" applyFont="1" applyBorder="1"/>
    <xf numFmtId="0" fontId="24" fillId="0" borderId="0" xfId="0" applyFont="1" applyAlignment="1">
      <alignment horizontal="left" vertical="top"/>
    </xf>
    <xf numFmtId="40" fontId="37" fillId="0" borderId="0" xfId="0" applyNumberFormat="1" applyFont="1" applyAlignment="1">
      <alignment vertical="top" wrapText="1"/>
    </xf>
    <xf numFmtId="43" fontId="38" fillId="0" borderId="0" xfId="3" applyFont="1"/>
    <xf numFmtId="43" fontId="38" fillId="0" borderId="7" xfId="3" applyFont="1" applyBorder="1"/>
    <xf numFmtId="43" fontId="38" fillId="0" borderId="8" xfId="3" applyFont="1" applyBorder="1"/>
    <xf numFmtId="43" fontId="38" fillId="0" borderId="1" xfId="3" applyFont="1" applyBorder="1"/>
    <xf numFmtId="43" fontId="38" fillId="0" borderId="3" xfId="3" applyFont="1" applyBorder="1"/>
    <xf numFmtId="14" fontId="31" fillId="0" borderId="0" xfId="0" applyNumberFormat="1" applyFont="1" applyBorder="1" applyAlignment="1">
      <alignment horizontal="right" vertical="top"/>
    </xf>
    <xf numFmtId="14" fontId="22" fillId="0" borderId="0" xfId="0" applyNumberFormat="1" applyFont="1" applyBorder="1" applyAlignment="1">
      <alignment horizontal="right" vertical="top"/>
    </xf>
    <xf numFmtId="40" fontId="19" fillId="0" borderId="0" xfId="0" applyNumberFormat="1" applyFont="1" applyAlignment="1">
      <alignment vertical="top" wrapText="1"/>
    </xf>
    <xf numFmtId="40" fontId="23" fillId="0" borderId="0" xfId="0" applyNumberFormat="1" applyFont="1" applyAlignment="1">
      <alignment vertical="top" wrapText="1"/>
    </xf>
    <xf numFmtId="40" fontId="39" fillId="0" borderId="0" xfId="0" applyNumberFormat="1" applyFont="1" applyAlignment="1">
      <alignment vertical="top" wrapText="1"/>
    </xf>
    <xf numFmtId="43" fontId="39" fillId="0" borderId="0" xfId="3" applyFont="1"/>
    <xf numFmtId="43" fontId="39" fillId="0" borderId="8" xfId="3" applyFont="1" applyBorder="1"/>
    <xf numFmtId="43" fontId="39" fillId="0" borderId="19" xfId="3" applyFont="1" applyBorder="1"/>
    <xf numFmtId="43" fontId="39" fillId="0" borderId="3" xfId="3" applyFont="1" applyBorder="1"/>
    <xf numFmtId="43" fontId="39" fillId="0" borderId="20" xfId="3" applyFont="1" applyBorder="1"/>
    <xf numFmtId="14" fontId="18" fillId="0" borderId="9" xfId="1" applyNumberFormat="1" applyFont="1" applyFill="1" applyBorder="1" applyAlignment="1">
      <alignment horizontal="center" vertical="center" wrapText="1"/>
    </xf>
    <xf numFmtId="14" fontId="19" fillId="0" borderId="18" xfId="0" applyNumberFormat="1" applyFont="1" applyBorder="1" applyAlignment="1">
      <alignment horizontal="left" vertical="top" wrapText="1"/>
    </xf>
    <xf numFmtId="14" fontId="19" fillId="0" borderId="18" xfId="0" applyNumberFormat="1" applyFont="1" applyFill="1" applyBorder="1" applyAlignment="1">
      <alignment horizontal="left" vertical="top" wrapText="1"/>
    </xf>
    <xf numFmtId="14" fontId="19" fillId="0" borderId="10" xfId="0" applyNumberFormat="1" applyFont="1" applyFill="1" applyBorder="1" applyAlignment="1">
      <alignment horizontal="left" vertical="top" wrapText="1"/>
    </xf>
    <xf numFmtId="14" fontId="22" fillId="0" borderId="23" xfId="0" applyNumberFormat="1" applyFont="1" applyBorder="1" applyAlignment="1">
      <alignment horizontal="left" vertical="top" wrapText="1"/>
    </xf>
    <xf numFmtId="40" fontId="18" fillId="2" borderId="9" xfId="1" applyNumberFormat="1" applyFont="1" applyFill="1" applyBorder="1" applyAlignment="1">
      <alignment horizontal="center" vertical="center" wrapText="1"/>
    </xf>
    <xf numFmtId="40" fontId="18" fillId="0" borderId="12" xfId="1" applyNumberFormat="1" applyFont="1" applyFill="1" applyBorder="1" applyAlignment="1">
      <alignment horizontal="center" vertical="center" wrapText="1"/>
    </xf>
    <xf numFmtId="43" fontId="19" fillId="0" borderId="20" xfId="3" applyFont="1" applyBorder="1"/>
    <xf numFmtId="43" fontId="19" fillId="0" borderId="19" xfId="3" applyFont="1" applyBorder="1"/>
    <xf numFmtId="40" fontId="34" fillId="0" borderId="0" xfId="0" applyNumberFormat="1" applyFont="1" applyAlignment="1">
      <alignment vertical="top"/>
    </xf>
    <xf numFmtId="40" fontId="19" fillId="0" borderId="0" xfId="0" applyNumberFormat="1" applyFont="1" applyAlignment="1">
      <alignment vertical="top"/>
    </xf>
    <xf numFmtId="14" fontId="22" fillId="0" borderId="11" xfId="0" applyNumberFormat="1" applyFont="1" applyBorder="1" applyAlignment="1">
      <alignment horizontal="right" vertical="top" wrapText="1"/>
    </xf>
    <xf numFmtId="14" fontId="22" fillId="0" borderId="13" xfId="0" applyNumberFormat="1" applyFont="1" applyBorder="1" applyAlignment="1">
      <alignment horizontal="right" vertical="top" wrapText="1"/>
    </xf>
    <xf numFmtId="165" fontId="19" fillId="0" borderId="0" xfId="0" applyNumberFormat="1" applyFont="1" applyAlignment="1">
      <alignment horizontal="center" vertical="top"/>
    </xf>
    <xf numFmtId="40" fontId="19" fillId="0" borderId="2" xfId="0" applyNumberFormat="1" applyFont="1" applyFill="1" applyBorder="1" applyAlignment="1">
      <alignment vertical="top"/>
    </xf>
    <xf numFmtId="40" fontId="19" fillId="0" borderId="14" xfId="0" applyNumberFormat="1" applyFont="1" applyFill="1" applyBorder="1" applyAlignment="1">
      <alignment vertical="top"/>
    </xf>
    <xf numFmtId="165" fontId="35" fillId="0" borderId="0" xfId="0" applyNumberFormat="1" applyFont="1" applyAlignment="1">
      <alignment horizontal="center" vertical="top"/>
    </xf>
    <xf numFmtId="165" fontId="37" fillId="0" borderId="0" xfId="0" applyNumberFormat="1" applyFont="1" applyAlignment="1">
      <alignment horizontal="center" vertical="top"/>
    </xf>
    <xf numFmtId="165" fontId="39" fillId="0" borderId="0" xfId="0" applyNumberFormat="1" applyFont="1" applyAlignment="1">
      <alignment horizontal="center" vertical="top"/>
    </xf>
    <xf numFmtId="40" fontId="18" fillId="0" borderId="5" xfId="1" applyNumberFormat="1" applyFont="1" applyFill="1" applyBorder="1" applyAlignment="1">
      <alignment horizontal="center" vertical="center" wrapText="1"/>
    </xf>
    <xf numFmtId="14" fontId="18" fillId="0" borderId="11" xfId="1" applyNumberFormat="1" applyFont="1" applyFill="1" applyBorder="1" applyAlignment="1">
      <alignment horizontal="center" vertical="center" wrapText="1"/>
    </xf>
    <xf numFmtId="165" fontId="19" fillId="0" borderId="0" xfId="0" applyNumberFormat="1" applyFont="1" applyAlignment="1">
      <alignment horizontal="center" vertical="top" wrapText="1"/>
    </xf>
    <xf numFmtId="40" fontId="19" fillId="0" borderId="0" xfId="0" applyNumberFormat="1" applyFont="1" applyBorder="1" applyAlignment="1">
      <alignment vertical="center" wrapText="1"/>
    </xf>
    <xf numFmtId="40" fontId="35" fillId="0" borderId="0" xfId="0" applyNumberFormat="1" applyFont="1" applyAlignment="1">
      <alignment horizontal="center" vertical="top" wrapText="1"/>
    </xf>
    <xf numFmtId="40" fontId="37" fillId="0" borderId="0" xfId="0" applyNumberFormat="1" applyFont="1" applyAlignment="1">
      <alignment horizontal="center" vertical="top" wrapText="1"/>
    </xf>
    <xf numFmtId="40" fontId="19" fillId="0" borderId="0" xfId="0" applyNumberFormat="1" applyFont="1" applyAlignment="1">
      <alignment horizontal="center" vertical="top" wrapText="1"/>
    </xf>
    <xf numFmtId="40" fontId="39" fillId="0" borderId="0" xfId="0" applyNumberFormat="1" applyFont="1" applyAlignment="1">
      <alignment horizontal="center" vertical="top" wrapText="1"/>
    </xf>
    <xf numFmtId="40" fontId="22" fillId="0" borderId="0" xfId="0" applyNumberFormat="1" applyFont="1" applyAlignment="1">
      <alignment vertical="top"/>
    </xf>
    <xf numFmtId="40" fontId="40" fillId="0" borderId="0" xfId="0" applyNumberFormat="1" applyFont="1" applyBorder="1" applyAlignment="1">
      <alignment horizontal="center" vertical="top" wrapText="1"/>
    </xf>
    <xf numFmtId="40" fontId="19" fillId="0" borderId="0" xfId="0" applyNumberFormat="1" applyFont="1" applyFill="1" applyAlignment="1">
      <alignment vertical="top"/>
    </xf>
    <xf numFmtId="0" fontId="14" fillId="0" borderId="0" xfId="0" applyFont="1" applyAlignment="1">
      <alignment horizontal="left" vertical="top" wrapText="1"/>
    </xf>
    <xf numFmtId="0" fontId="41" fillId="0" borderId="0" xfId="0" applyFont="1" applyAlignment="1">
      <alignment vertical="top" wrapText="1"/>
    </xf>
    <xf numFmtId="165" fontId="41" fillId="0" borderId="0" xfId="0" applyNumberFormat="1" applyFont="1" applyAlignment="1">
      <alignment horizontal="center" vertical="top" wrapText="1"/>
    </xf>
    <xf numFmtId="165" fontId="41" fillId="0" borderId="0" xfId="0" applyNumberFormat="1" applyFont="1" applyAlignment="1">
      <alignment horizontal="center" vertical="top"/>
    </xf>
    <xf numFmtId="40" fontId="41" fillId="0" borderId="0" xfId="0" applyNumberFormat="1" applyFont="1" applyAlignment="1">
      <alignment vertical="top"/>
    </xf>
    <xf numFmtId="40" fontId="42" fillId="0" borderId="0" xfId="0" applyNumberFormat="1" applyFont="1" applyAlignment="1">
      <alignment vertical="top" wrapText="1"/>
    </xf>
    <xf numFmtId="165" fontId="42" fillId="0" borderId="0" xfId="0" applyNumberFormat="1" applyFont="1" applyAlignment="1">
      <alignment horizontal="center" vertical="top"/>
    </xf>
    <xf numFmtId="40" fontId="42" fillId="0" borderId="0" xfId="0" applyNumberFormat="1" applyFont="1" applyAlignment="1">
      <alignment vertical="top"/>
    </xf>
    <xf numFmtId="0" fontId="42" fillId="0" borderId="0" xfId="0" applyFont="1" applyAlignment="1">
      <alignment vertical="top" wrapText="1"/>
    </xf>
    <xf numFmtId="165" fontId="42" fillId="0" borderId="0" xfId="0" applyNumberFormat="1" applyFont="1" applyAlignment="1">
      <alignment horizontal="center" vertical="top" wrapText="1"/>
    </xf>
    <xf numFmtId="44" fontId="14" fillId="0" borderId="0" xfId="1" applyFont="1" applyBorder="1" applyAlignment="1">
      <alignment horizontal="center" vertical="top" wrapText="1"/>
    </xf>
    <xf numFmtId="44" fontId="17" fillId="0" borderId="0" xfId="1" applyFont="1" applyFill="1" applyBorder="1" applyAlignment="1">
      <alignment horizontal="center" vertical="top" wrapText="1"/>
    </xf>
    <xf numFmtId="166" fontId="19" fillId="0" borderId="7" xfId="0" applyNumberFormat="1" applyFont="1" applyBorder="1" applyAlignment="1">
      <alignment horizontal="left" vertical="center" wrapText="1"/>
    </xf>
    <xf numFmtId="43" fontId="42" fillId="0" borderId="0" xfId="3" applyFont="1" applyBorder="1"/>
    <xf numFmtId="43" fontId="42" fillId="0" borderId="0" xfId="3" applyFont="1"/>
    <xf numFmtId="43" fontId="43" fillId="0" borderId="0" xfId="3" applyFont="1" applyBorder="1" applyAlignment="1">
      <alignment wrapText="1"/>
    </xf>
    <xf numFmtId="165" fontId="42" fillId="0" borderId="0" xfId="0" applyNumberFormat="1" applyFont="1" applyAlignment="1">
      <alignment vertical="top" wrapText="1"/>
    </xf>
    <xf numFmtId="0" fontId="19" fillId="0" borderId="0" xfId="0" applyFont="1" applyAlignment="1">
      <alignment horizontal="center" vertical="top" wrapText="1"/>
    </xf>
    <xf numFmtId="0" fontId="41" fillId="0" borderId="0" xfId="0" applyFont="1" applyAlignment="1">
      <alignment horizontal="center" vertical="top" wrapText="1"/>
    </xf>
    <xf numFmtId="0" fontId="42" fillId="0" borderId="0" xfId="0" applyFont="1" applyAlignment="1">
      <alignment horizontal="center" vertical="top" wrapText="1"/>
    </xf>
    <xf numFmtId="165" fontId="35" fillId="0" borderId="0" xfId="0" applyNumberFormat="1" applyFont="1" applyAlignment="1">
      <alignment horizontal="center" vertical="top" wrapText="1"/>
    </xf>
    <xf numFmtId="165" fontId="37" fillId="0" borderId="0" xfId="0" applyNumberFormat="1" applyFont="1" applyAlignment="1">
      <alignment horizontal="center" vertical="top" wrapText="1"/>
    </xf>
    <xf numFmtId="165" fontId="39" fillId="0" borderId="0" xfId="0" applyNumberFormat="1" applyFont="1" applyAlignment="1">
      <alignment horizontal="center" vertical="top" wrapText="1"/>
    </xf>
    <xf numFmtId="40" fontId="35" fillId="0" borderId="0" xfId="0" applyNumberFormat="1" applyFont="1" applyAlignment="1">
      <alignment vertical="top"/>
    </xf>
    <xf numFmtId="40" fontId="37" fillId="0" borderId="0" xfId="0" applyNumberFormat="1" applyFont="1" applyAlignment="1">
      <alignment vertical="top"/>
    </xf>
    <xf numFmtId="40" fontId="39" fillId="0" borderId="0" xfId="0" applyNumberFormat="1" applyFont="1" applyAlignment="1">
      <alignment vertical="top"/>
    </xf>
    <xf numFmtId="40" fontId="19" fillId="0" borderId="0" xfId="0" applyNumberFormat="1" applyFont="1" applyBorder="1" applyAlignment="1">
      <alignment vertical="top"/>
    </xf>
    <xf numFmtId="40" fontId="19" fillId="0" borderId="22" xfId="0" applyNumberFormat="1" applyFont="1" applyFill="1" applyBorder="1" applyAlignment="1">
      <alignment horizontal="right" vertical="top"/>
    </xf>
    <xf numFmtId="40" fontId="19" fillId="0" borderId="18" xfId="0" applyNumberFormat="1" applyFont="1" applyBorder="1" applyAlignment="1">
      <alignment horizontal="right" vertical="top"/>
    </xf>
    <xf numFmtId="40" fontId="19" fillId="0" borderId="18" xfId="0" applyNumberFormat="1" applyFont="1" applyFill="1" applyBorder="1" applyAlignment="1">
      <alignment horizontal="right" vertical="top"/>
    </xf>
    <xf numFmtId="40" fontId="19" fillId="0" borderId="18" xfId="0" applyNumberFormat="1" applyFont="1" applyFill="1" applyBorder="1" applyAlignment="1">
      <alignment vertical="top"/>
    </xf>
    <xf numFmtId="40" fontId="19" fillId="0" borderId="10" xfId="0" applyNumberFormat="1" applyFont="1" applyFill="1" applyBorder="1" applyAlignment="1">
      <alignment vertical="top"/>
    </xf>
    <xf numFmtId="40" fontId="22" fillId="0" borderId="17" xfId="0" applyNumberFormat="1" applyFont="1" applyFill="1" applyBorder="1" applyAlignment="1">
      <alignment horizontal="right" vertical="top"/>
    </xf>
    <xf numFmtId="40" fontId="22" fillId="0" borderId="24" xfId="0" applyNumberFormat="1" applyFont="1" applyFill="1" applyBorder="1" applyAlignment="1">
      <alignment horizontal="right" vertical="top"/>
    </xf>
    <xf numFmtId="40" fontId="19" fillId="0" borderId="1" xfId="0" applyNumberFormat="1" applyFont="1" applyBorder="1" applyAlignment="1">
      <alignment horizontal="right" vertical="top"/>
    </xf>
    <xf numFmtId="40" fontId="19" fillId="0" borderId="7" xfId="0" applyNumberFormat="1" applyFont="1" applyBorder="1" applyAlignment="1">
      <alignment horizontal="right" vertical="top"/>
    </xf>
    <xf numFmtId="40" fontId="19" fillId="0" borderId="1" xfId="0" applyNumberFormat="1" applyFont="1" applyFill="1" applyBorder="1" applyAlignment="1">
      <alignment horizontal="right" vertical="top"/>
    </xf>
    <xf numFmtId="40" fontId="19" fillId="0" borderId="7" xfId="0" applyNumberFormat="1" applyFont="1" applyFill="1" applyBorder="1" applyAlignment="1">
      <alignment horizontal="right" vertical="top"/>
    </xf>
    <xf numFmtId="40" fontId="19" fillId="0" borderId="8" xfId="0" applyNumberFormat="1" applyFont="1" applyFill="1" applyBorder="1" applyAlignment="1">
      <alignment horizontal="right" vertical="top"/>
    </xf>
    <xf numFmtId="40" fontId="19" fillId="0" borderId="3" xfId="0" applyNumberFormat="1" applyFont="1" applyFill="1" applyBorder="1" applyAlignment="1">
      <alignment horizontal="right" vertical="top"/>
    </xf>
    <xf numFmtId="40" fontId="22" fillId="0" borderId="26" xfId="0" applyNumberFormat="1" applyFont="1" applyFill="1" applyBorder="1" applyAlignment="1">
      <alignment horizontal="right" vertical="top"/>
    </xf>
    <xf numFmtId="40" fontId="19" fillId="0" borderId="21" xfId="0" applyNumberFormat="1" applyFont="1" applyBorder="1" applyAlignment="1">
      <alignment horizontal="right" vertical="top"/>
    </xf>
    <xf numFmtId="40" fontId="19" fillId="0" borderId="21" xfId="0" applyNumberFormat="1" applyFont="1" applyFill="1" applyBorder="1" applyAlignment="1">
      <alignment horizontal="right" vertical="top"/>
    </xf>
    <xf numFmtId="40" fontId="19" fillId="0" borderId="25" xfId="0" applyNumberFormat="1" applyFont="1" applyFill="1" applyBorder="1" applyAlignment="1">
      <alignment horizontal="right" vertical="top"/>
    </xf>
    <xf numFmtId="40" fontId="22" fillId="0" borderId="16" xfId="0" applyNumberFormat="1" applyFont="1" applyFill="1" applyBorder="1" applyAlignment="1">
      <alignment horizontal="right" vertical="top"/>
    </xf>
    <xf numFmtId="0" fontId="42" fillId="0" borderId="0" xfId="0" applyNumberFormat="1" applyFont="1" applyAlignment="1">
      <alignment horizontal="center" vertical="top" wrapText="1"/>
    </xf>
    <xf numFmtId="0" fontId="19" fillId="0" borderId="0" xfId="0" applyNumberFormat="1" applyFont="1" applyAlignment="1">
      <alignment horizontal="center" vertical="top" wrapText="1"/>
    </xf>
    <xf numFmtId="165" fontId="19" fillId="0" borderId="0" xfId="0" applyNumberFormat="1" applyFont="1" applyAlignment="1">
      <alignment vertical="top" wrapText="1"/>
    </xf>
    <xf numFmtId="0" fontId="44" fillId="0" borderId="0" xfId="0" applyFont="1" applyAlignment="1">
      <alignment vertical="top" wrapText="1"/>
    </xf>
    <xf numFmtId="0" fontId="44" fillId="0" borderId="0" xfId="0" applyNumberFormat="1" applyFont="1" applyAlignment="1">
      <alignment horizontal="center" vertical="top" wrapText="1"/>
    </xf>
    <xf numFmtId="165" fontId="44" fillId="0" borderId="0" xfId="0" applyNumberFormat="1" applyFont="1" applyAlignment="1">
      <alignment horizontal="center" vertical="top" wrapText="1"/>
    </xf>
    <xf numFmtId="165" fontId="44" fillId="0" borderId="0" xfId="0" applyNumberFormat="1" applyFont="1" applyAlignment="1">
      <alignment vertical="top" wrapText="1"/>
    </xf>
    <xf numFmtId="40" fontId="44" fillId="0" borderId="0" xfId="0" applyNumberFormat="1" applyFont="1" applyAlignment="1">
      <alignment vertical="top" wrapText="1"/>
    </xf>
    <xf numFmtId="40" fontId="44" fillId="0" borderId="0" xfId="0" applyNumberFormat="1" applyFont="1" applyAlignment="1">
      <alignment vertical="top"/>
    </xf>
    <xf numFmtId="44" fontId="19" fillId="0" borderId="0" xfId="1" applyFont="1" applyBorder="1" applyAlignment="1">
      <alignment horizontal="center" vertical="top" wrapText="1"/>
    </xf>
    <xf numFmtId="44" fontId="14" fillId="0" borderId="0" xfId="1" applyFont="1" applyAlignment="1">
      <alignment vertical="top" wrapText="1"/>
    </xf>
    <xf numFmtId="0" fontId="47" fillId="0" borderId="0" xfId="0" applyFont="1" applyAlignment="1">
      <alignment vertical="top" wrapText="1"/>
    </xf>
    <xf numFmtId="0" fontId="47" fillId="0" borderId="0" xfId="0" applyNumberFormat="1" applyFont="1" applyAlignment="1">
      <alignment horizontal="center" vertical="top" wrapText="1"/>
    </xf>
    <xf numFmtId="165" fontId="47" fillId="0" borderId="0" xfId="0" applyNumberFormat="1" applyFont="1" applyAlignment="1">
      <alignment horizontal="center" vertical="top" wrapText="1"/>
    </xf>
    <xf numFmtId="165" fontId="47" fillId="0" borderId="0" xfId="0" applyNumberFormat="1" applyFont="1" applyAlignment="1">
      <alignment vertical="top" wrapText="1"/>
    </xf>
    <xf numFmtId="40" fontId="47" fillId="0" borderId="0" xfId="0" applyNumberFormat="1" applyFont="1" applyAlignment="1">
      <alignment vertical="top" wrapText="1"/>
    </xf>
    <xf numFmtId="40" fontId="47" fillId="0" borderId="0" xfId="0" applyNumberFormat="1" applyFont="1" applyAlignment="1">
      <alignment vertical="top"/>
    </xf>
    <xf numFmtId="40" fontId="22" fillId="0" borderId="0" xfId="0" applyNumberFormat="1" applyFont="1" applyAlignment="1">
      <alignment vertical="top" wrapText="1"/>
    </xf>
    <xf numFmtId="44" fontId="14" fillId="0" borderId="0" xfId="1" applyFont="1" applyAlignment="1">
      <alignment horizontal="center" vertical="center" wrapText="1"/>
    </xf>
    <xf numFmtId="0" fontId="48" fillId="0" borderId="0" xfId="0" applyFont="1" applyAlignment="1">
      <alignment vertical="top" wrapText="1"/>
    </xf>
    <xf numFmtId="0" fontId="48" fillId="0" borderId="0" xfId="0" applyNumberFormat="1" applyFont="1" applyAlignment="1">
      <alignment horizontal="center" vertical="top" wrapText="1"/>
    </xf>
    <xf numFmtId="165" fontId="48" fillId="0" borderId="0" xfId="0" applyNumberFormat="1" applyFont="1" applyAlignment="1">
      <alignment horizontal="center" vertical="top" wrapText="1"/>
    </xf>
    <xf numFmtId="165" fontId="48" fillId="0" borderId="0" xfId="0" applyNumberFormat="1" applyFont="1" applyAlignment="1">
      <alignment vertical="top" wrapText="1"/>
    </xf>
    <xf numFmtId="40" fontId="48" fillId="0" borderId="0" xfId="0" applyNumberFormat="1" applyFont="1" applyAlignment="1">
      <alignment vertical="top" wrapText="1"/>
    </xf>
    <xf numFmtId="40" fontId="48" fillId="0" borderId="0" xfId="0" applyNumberFormat="1" applyFont="1" applyAlignment="1">
      <alignment vertical="top"/>
    </xf>
    <xf numFmtId="0" fontId="24" fillId="0" borderId="0" xfId="0" applyFont="1" applyAlignment="1">
      <alignment horizontal="left" vertical="top" wrapText="1"/>
    </xf>
    <xf numFmtId="40" fontId="20" fillId="0" borderId="0" xfId="0" applyNumberFormat="1" applyFont="1" applyBorder="1" applyAlignment="1">
      <alignment horizontal="center" vertical="top" wrapText="1"/>
    </xf>
    <xf numFmtId="0" fontId="26" fillId="0" borderId="0" xfId="0" applyFont="1" applyAlignment="1">
      <alignment horizontal="left" vertical="top" wrapText="1"/>
    </xf>
    <xf numFmtId="0" fontId="19" fillId="0" borderId="0" xfId="0" applyFont="1" applyAlignment="1">
      <alignment horizontal="left" vertical="top" wrapText="1"/>
    </xf>
    <xf numFmtId="0" fontId="16" fillId="0" borderId="0" xfId="0" applyFont="1" applyAlignment="1">
      <alignment horizontal="left" vertical="top" wrapText="1"/>
    </xf>
    <xf numFmtId="0" fontId="14" fillId="0" borderId="0" xfId="0" applyFont="1" applyAlignment="1">
      <alignment horizontal="left" vertical="top" wrapText="1"/>
    </xf>
    <xf numFmtId="14" fontId="16" fillId="0" borderId="4" xfId="0" applyNumberFormat="1" applyFont="1" applyBorder="1" applyAlignment="1">
      <alignment horizontal="center" vertical="center" wrapText="1"/>
    </xf>
    <xf numFmtId="14" fontId="16" fillId="0" borderId="10"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40" fontId="16" fillId="0" borderId="0" xfId="0" applyNumberFormat="1" applyFont="1" applyBorder="1" applyAlignment="1">
      <alignment horizontal="center" vertical="center" wrapText="1"/>
    </xf>
    <xf numFmtId="40" fontId="25" fillId="4" borderId="27" xfId="1" applyNumberFormat="1" applyFont="1" applyFill="1" applyBorder="1" applyAlignment="1">
      <alignment horizontal="center" vertical="center" wrapText="1"/>
    </xf>
    <xf numFmtId="40" fontId="25" fillId="4" borderId="0" xfId="1" applyNumberFormat="1" applyFont="1" applyFill="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2" fillId="0" borderId="0" xfId="0" applyFont="1" applyAlignment="1">
      <alignment horizontal="left" vertical="top"/>
    </xf>
    <xf numFmtId="0" fontId="0" fillId="0" borderId="0" xfId="0" applyAlignment="1">
      <alignment horizontal="left" vertical="top" wrapText="1"/>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Border="1" applyAlignment="1">
      <alignment horizontal="left" vertical="top" wrapText="1"/>
    </xf>
  </cellXfs>
  <cellStyles count="7">
    <cellStyle name="Comma" xfId="3" builtinId="3"/>
    <cellStyle name="Comma 2" xfId="6"/>
    <cellStyle name="Currency" xfId="1" builtinId="4"/>
    <cellStyle name="Normal" xfId="0" builtinId="0"/>
    <cellStyle name="Normal 2" xfId="4"/>
    <cellStyle name="Normal 2 2" xfId="5"/>
    <cellStyle name="Normal_Notes" xfId="2"/>
  </cellStyles>
  <dxfs count="183">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b val="0"/>
        <i val="0"/>
        <strike val="0"/>
        <condense val="0"/>
        <extend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style="thin">
          <color indexed="64"/>
        </left>
        <right style="thin">
          <color indexed="64"/>
        </right>
        <top/>
        <bottom/>
        <vertical/>
        <horizontal/>
      </border>
    </dxf>
    <dxf>
      <font>
        <strike val="0"/>
        <outline val="0"/>
        <shadow val="0"/>
        <u val="none"/>
        <vertAlign val="baseline"/>
        <sz val="9"/>
        <color theme="1"/>
        <name val="Arial Unicode MS"/>
        <scheme val="none"/>
      </font>
      <border diagonalUp="0" diagonalDown="0">
        <left/>
        <right style="thin">
          <color indexed="64"/>
        </right>
        <top/>
        <bottom/>
        <vertical/>
        <horizontal/>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0" formatCode="General"/>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0" indent="0" justifyLastLine="0" shrinkToFit="0" readingOrder="0"/>
    </dxf>
    <dxf>
      <font>
        <strike val="0"/>
        <outline val="0"/>
        <shadow val="0"/>
        <u val="none"/>
        <vertAlign val="baseline"/>
        <sz val="9"/>
        <color theme="1"/>
        <name val="Arial Unicode MS"/>
        <scheme val="none"/>
      </font>
      <numFmt numFmtId="165" formatCode="mm/dd/yy;@"/>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strike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border diagonalUp="0" diagonalDown="0" outline="0">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numFmt numFmtId="8" formatCode="#,##0.00_);[Red]\(#,##0.00\)"/>
      <alignment horizontal="right" vertical="top"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color theme="1"/>
        <name val="Arial Unicode MS"/>
        <scheme val="none"/>
      </font>
      <alignment vertical="top" textRotation="0" wrapText="1" indent="0" justifyLastLine="0" shrinkToFit="0" readingOrder="0"/>
    </dxf>
    <dxf>
      <alignment horizontal="center"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10"/>
        <color theme="1"/>
        <name val="Arial Unicode MS"/>
        <scheme val="none"/>
      </font>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thin">
          <color indexed="64"/>
        </left>
        <right style="medium">
          <color indexed="64"/>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strike val="0"/>
        <outline val="0"/>
        <shadow val="0"/>
        <u val="none"/>
        <vertAlign val="baseline"/>
        <sz val="9"/>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strike val="0"/>
        <outline val="0"/>
        <shadow val="0"/>
        <u val="none"/>
        <vertAlign val="baseline"/>
        <sz val="9"/>
        <name val="Arial Unicode MS"/>
        <scheme val="none"/>
      </font>
      <numFmt numFmtId="8" formatCode="#,##0.00_);[Red]\(#,##0.00\)"/>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outline="0">
        <left style="thin">
          <color indexed="64"/>
        </left>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right" vertical="top" textRotation="0" wrapText="0" indent="0" justifyLastLine="0" shrinkToFit="0" readingOrder="0"/>
      <border diagonalUp="0" diagonalDown="0" outline="0">
        <left style="medium">
          <color indexed="64"/>
        </left>
        <right style="thin">
          <color indexed="64"/>
        </right>
        <top style="thin">
          <color auto="1"/>
        </top>
        <bottom style="thin">
          <color auto="1"/>
        </bottom>
      </border>
    </dxf>
    <dxf>
      <font>
        <strike val="0"/>
        <outline val="0"/>
        <shadow val="0"/>
        <u val="none"/>
        <vertAlign val="baseline"/>
        <sz val="9"/>
        <name val="Arial Unicode MS"/>
        <scheme val="none"/>
      </font>
      <numFmt numFmtId="166" formatCode="mm/dd/yyyy"/>
      <alignment horizontal="left" vertical="top" textRotation="0" wrapText="1" indent="0" justifyLastLine="0" shrinkToFit="0" readingOrder="0"/>
      <border diagonalUp="0" diagonalDown="0" outline="0">
        <left/>
        <right style="medium">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textRotation="0" wrapText="1" indent="0" justifyLastLine="0" shrinkToFit="0" readingOrder="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E4DFEC"/>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82"/>
      <tableStyleElement type="firstRowStripe" dxfId="181"/>
    </tableStyle>
    <tableStyle name="Table Style 2" pivot="0" count="1">
      <tableStyleElement type="firstRowStripe" dxfId="180"/>
    </tableStyle>
    <tableStyle name="Table Style 3" pivot="0" count="1">
      <tableStyleElement type="firstRowStripe" dxfId="179"/>
    </tableStyle>
    <tableStyle name="Table Style 4" pivot="0" count="3">
      <tableStyleElement type="wholeTable" dxfId="178"/>
      <tableStyleElement type="headerRow" dxfId="177"/>
      <tableStyleElement type="firstRowStripe" dxfId="176"/>
    </tableStyle>
  </tableStyles>
  <colors>
    <mruColors>
      <color rgb="FFE4DFEC"/>
      <color rgb="FFFFFFCC"/>
      <color rgb="FFDBB7FF"/>
      <color rgb="FFD9D9D9"/>
      <color rgb="FFC5D9F1"/>
      <color rgb="FFFABF8F"/>
      <color rgb="FFF2DCDB"/>
      <color rgb="FFACEAAC"/>
      <color rgb="FFC9FFF5"/>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adjustColumnWidth="0" connectionId="1" autoFormatId="16" applyNumberFormats="0" applyBorderFormats="0" applyFontFormats="0" applyPatternFormats="0" applyAlignmentFormats="0" applyWidthHeightFormats="0">
  <queryTableRefresh nextId="31" unboundColumnsRight="2">
    <queryTableFields count="30">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30" dataBound="0" tableColumnId="30"/>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HIP &gt;200" tableColumnId="23"/>
      <queryTableField id="24" name="TAP &lt;5" tableColumnId="24"/>
      <queryTableField id="25" name="TAP 5-200" tableColumnId="25"/>
      <queryTableField id="26" name="TA OVER 200K" tableColumnId="26"/>
      <queryTableField id="27" name="TAP Flex" tableColumnId="27"/>
      <queryTableField id="29" dataBound="0" tableColumnId="28"/>
      <queryTableField id="28" dataBound="0" tableColumnId="29"/>
    </queryTableFields>
  </queryTableRefresh>
</queryTable>
</file>

<file path=xl/queryTables/queryTable2.xml><?xml version="1.0" encoding="utf-8"?>
<queryTable xmlns="http://schemas.openxmlformats.org/spreadsheetml/2006/main" name="Query from MS Access Database_2" adjustColumnWidth="0" connectionId="4" autoFormatId="16" applyNumberFormats="0" applyBorderFormats="0" applyFontFormats="0" applyPatternFormats="0" applyAlignmentFormats="0" applyWidthHeightFormats="0">
  <queryTableRefresh nextId="31" unboundColumnsRight="2">
    <queryTableFields count="30">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30" dataBound="0" tableColumnId="30"/>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CMAQ" tableColumnId="14"/>
      <queryTableField id="15" name="CMAQ 2_5" tableColumnId="15"/>
      <queryTableField id="16" name="HSIP" tableColumnId="16"/>
      <queryTableField id="17" name="PL" tableColumnId="17"/>
      <queryTableField id="18" name="SPR" tableColumnId="18"/>
      <queryTableField id="19" name="STP &lt;5" tableColumnId="19"/>
      <queryTableField id="20" name="STP 5-200" tableColumnId="20"/>
      <queryTableField id="21" name="STP OVER 200K" tableColumnId="21"/>
      <queryTableField id="22" name="STP OTHER" tableColumnId="22"/>
      <queryTableField id="23" name="HIP &gt;200" tableColumnId="23"/>
      <queryTableField id="24" name="TAP &lt;5" tableColumnId="24"/>
      <queryTableField id="25" name="TAP 5-200" tableColumnId="25"/>
      <queryTableField id="26" name="TA OVER 200K" tableColumnId="26"/>
      <queryTableField id="27" name="TAP Flex" tableColumnId="27"/>
      <queryTableField id="29" dataBound="0" tableColumnId="28"/>
      <queryTableField id="28" dataBound="0" tableColumnId="29"/>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6">
    <queryTableFields count="25">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CMAQ" tableColumnId="10"/>
      <queryTableField id="11" name="CMAQ 25" tableColumnId="11"/>
      <queryTableField id="12" name="HURF Exchange" tableColumnId="12"/>
      <queryTableField id="13" name="HSIP" tableColumnId="13"/>
      <queryTableField id="14" name="PLAN" tableColumnId="14"/>
      <queryTableField id="15" name="SPR" tableColumnId="15"/>
      <queryTableField id="16" name="STP &lt;5" tableColumnId="16"/>
      <queryTableField id="17" name="STP 5-2" tableColumnId="17"/>
      <queryTableField id="18" name="STP &gt;200" tableColumnId="18"/>
      <queryTableField id="19" name="STP Flex" tableColumnId="19"/>
      <queryTableField id="20" name="HIP &gt;200" tableColumnId="20"/>
      <queryTableField id="21" name="TAP &lt;5" tableColumnId="21"/>
      <queryTableField id="22" name="TAP 5-2" tableColumnId="22"/>
      <queryTableField id="23" name="TAP &gt;200" tableColumnId="23"/>
      <queryTableField id="25" dataBound="0" tableColumnId="25"/>
      <queryTableField id="24" name="TAP Flex" tableColumnId="24"/>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5">
    <queryTableFields count="24">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CMAQ" tableColumnId="11"/>
      <queryTableField id="11" name="CMAQ 25" tableColumnId="12"/>
      <queryTableField id="12" name="HURF Exchange" tableColumnId="13"/>
      <queryTableField id="13" name="HSIP" tableColumnId="14"/>
      <queryTableField id="14" name="PLAN" tableColumnId="15"/>
      <queryTableField id="15" name="SPR" tableColumnId="16"/>
      <queryTableField id="16" name="STP &lt;5" tableColumnId="17"/>
      <queryTableField id="17" name="STP 5-2" tableColumnId="18"/>
      <queryTableField id="18" name="STP &gt;200" tableColumnId="19"/>
      <queryTableField id="19" name="STP Flex" tableColumnId="20"/>
      <queryTableField id="20" name="HIP &gt;200" tableColumnId="21"/>
      <queryTableField id="21" name="TAP &lt;5" tableColumnId="22"/>
      <queryTableField id="22" name="TAP 5-2" tableColumnId="23"/>
      <queryTableField id="23" name="TAP &gt;200" tableColumnId="24"/>
      <queryTableField id="24" name="TAP Flex" tableColumnId="25"/>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AD14" totalsRowShown="0" headerRowDxfId="175" dataDxfId="173" headerRowBorderDxfId="174" tableBorderDxfId="172" totalsRowBorderDxfId="171" headerRowCellStyle="Currency">
  <autoFilter ref="M3:AD14"/>
  <tableColumns count="18">
    <tableColumn id="1" name="Description" dataDxfId="170"/>
    <tableColumn id="17" name="HURF EX" dataDxfId="169"/>
    <tableColumn id="9" name="CMAQ" dataDxfId="168"/>
    <tableColumn id="3" name="CMAQ 2_5" dataDxfId="167"/>
    <tableColumn id="4" name="HSIP/3" dataDxfId="166"/>
    <tableColumn id="2" name="PL" dataDxfId="165"/>
    <tableColumn id="5" name="SPR /4" dataDxfId="164"/>
    <tableColumn id="15" name="STP &lt;5" dataDxfId="163"/>
    <tableColumn id="16" name="STP 5-2" dataDxfId="162"/>
    <tableColumn id="6" name="STP OVER 200K" dataDxfId="161"/>
    <tableColumn id="11" name="STP Other" dataDxfId="160"/>
    <tableColumn id="18" name="HIP &gt;200" dataDxfId="159"/>
    <tableColumn id="10" name="TAP &lt;5" dataDxfId="158"/>
    <tableColumn id="14" name="TAP 5-2" dataDxfId="157"/>
    <tableColumn id="12" name="TA OVER 200K" dataDxfId="156"/>
    <tableColumn id="13" name="TAP Flex" dataDxfId="155"/>
    <tableColumn id="7" name="Total" dataDxfId="154">
      <calculatedColumnFormula>SUM(Table1[[#This Row],[CMAQ]:[TAP Flex]])</calculatedColumnFormula>
    </tableColumn>
    <tableColumn id="8" name="FFY OBLIGATION AUTHORITY /2" dataDxfId="153"/>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7:AD115" tableType="queryTable" totalsRowShown="0" headerRowDxfId="152" dataDxfId="151" tableBorderDxfId="150">
  <autoFilter ref="A17:AD115"/>
  <sortState ref="A18:AD115">
    <sortCondition ref="M17:M110"/>
  </sortState>
  <tableColumns count="30">
    <tableColumn id="1" uniqueName="1" name="ADOT#" queryTableFieldId="1" dataDxfId="79"/>
    <tableColumn id="2" uniqueName="2" name="TIP#" queryTableFieldId="2" dataDxfId="78"/>
    <tableColumn id="3" uniqueName="3" name="Sponsor" queryTableFieldId="3" dataDxfId="77"/>
    <tableColumn id="4" uniqueName="4" name="Action/15" queryTableFieldId="4" dataDxfId="76"/>
    <tableColumn id="5" uniqueName="5" name="Location" queryTableFieldId="5" dataDxfId="75"/>
    <tableColumn id="6" uniqueName="6" name="RTE" queryTableFieldId="6" dataDxfId="74"/>
    <tableColumn id="7" uniqueName="7" name="SEC" queryTableFieldId="7" dataDxfId="73"/>
    <tableColumn id="8" uniqueName="8" name="SEQ" queryTableFieldId="8" dataDxfId="72"/>
    <tableColumn id="30" uniqueName="30" name="Fed #" queryTableFieldId="30" dataDxfId="71">
      <calculatedColumnFormula>CONCATENATE(Table_Query_from_MS_Access_Database_1[RTE],Table_Query_from_MS_Access_Database_1[SEC],Table_Query_from_MS_Access_Database_1[SEQ])</calculatedColumnFormula>
    </tableColumn>
    <tableColumn id="9" uniqueName="9" name="PB Expected" queryTableFieldId="9" dataDxfId="70"/>
    <tableColumn id="10" uniqueName="10" name="PB Received" queryTableFieldId="10" dataDxfId="69"/>
    <tableColumn id="11" uniqueName="11" name="PF Transmitted" queryTableFieldId="11" dataDxfId="68"/>
    <tableColumn id="12" uniqueName="12" name="Finance Authorization" queryTableFieldId="12" dataDxfId="67"/>
    <tableColumn id="13" uniqueName="13" name="HURF EX" queryTableFieldId="13" dataDxfId="66"/>
    <tableColumn id="14" uniqueName="14" name="CMAQ" queryTableFieldId="14" dataDxfId="65"/>
    <tableColumn id="15" uniqueName="15" name="CMAQ 2_5" queryTableFieldId="15" dataDxfId="64"/>
    <tableColumn id="16" uniqueName="16" name="HSIP" queryTableFieldId="16" dataDxfId="63"/>
    <tableColumn id="17" uniqueName="17" name="PL" queryTableFieldId="17" dataDxfId="62"/>
    <tableColumn id="18" uniqueName="18" name="SPR" queryTableFieldId="18" dataDxfId="61"/>
    <tableColumn id="19" uniqueName="19" name="STP &lt;5" queryTableFieldId="19" dataDxfId="60"/>
    <tableColumn id="20" uniqueName="20" name="STP 5-200" queryTableFieldId="20" dataDxfId="59"/>
    <tableColumn id="21" uniqueName="21" name="STP OVER 200K" queryTableFieldId="21" dataDxfId="58"/>
    <tableColumn id="22" uniqueName="22" name="STP OTHER" queryTableFieldId="22" dataDxfId="57"/>
    <tableColumn id="23" uniqueName="23" name="HIP &gt;200" queryTableFieldId="23" dataDxfId="56"/>
    <tableColumn id="24" uniqueName="24" name="TAP &lt;5" queryTableFieldId="24" dataDxfId="55"/>
    <tableColumn id="25" uniqueName="25" name="TAP 5-200" queryTableFieldId="25" dataDxfId="54"/>
    <tableColumn id="26" uniqueName="26" name="TA OVER 200K" queryTableFieldId="26" dataDxfId="53"/>
    <tableColumn id="27" uniqueName="27" name="TAP Flex" queryTableFieldId="27" dataDxfId="52"/>
    <tableColumn id="28" uniqueName="28" name="TOTAL OF AMOUNT" queryTableFieldId="29" dataDxfId="51">
      <calculatedColumnFormula>SUM(Table_Query_from_MS_Access_Database_1[[#This Row],[HURF EX]:[TAP Flex]])</calculatedColumnFormula>
    </tableColumn>
    <tableColumn id="29" uniqueName="29" name="DECLINING BALANCE OA" queryTableFieldId="28" dataDxfId="50"/>
  </tableColumns>
  <tableStyleInfo name="Table Style 4" showFirstColumn="0" showLastColumn="0" showRowStripes="1" showColumnStripes="0"/>
</table>
</file>

<file path=xl/tables/table3.xml><?xml version="1.0" encoding="utf-8"?>
<table xmlns="http://schemas.openxmlformats.org/spreadsheetml/2006/main" id="3" name="Table_Query_from_MS_Access_Database_2" displayName="Table_Query_from_MS_Access_Database_2" ref="A120:AD127" tableType="queryTable" totalsRowShown="0" headerRowDxfId="149" dataDxfId="148" tableBorderDxfId="147">
  <autoFilter ref="A120:AD127"/>
  <sortState ref="A116:AD122">
    <sortCondition ref="C96:C161"/>
  </sortState>
  <tableColumns count="30">
    <tableColumn id="1" uniqueName="1" name="ADOT#" queryTableFieldId="1" dataDxfId="108"/>
    <tableColumn id="2" uniqueName="2" name="TIP#" queryTableFieldId="2" dataDxfId="107"/>
    <tableColumn id="3" uniqueName="3" name="Sponsor" queryTableFieldId="3" dataDxfId="106"/>
    <tableColumn id="4" uniqueName="4" name="Action/15" queryTableFieldId="4" dataDxfId="105"/>
    <tableColumn id="5" uniqueName="5" name="Location" queryTableFieldId="5" dataDxfId="104"/>
    <tableColumn id="6" uniqueName="6" name="RTE" queryTableFieldId="6" dataDxfId="103"/>
    <tableColumn id="7" uniqueName="7" name="SEC" queryTableFieldId="7" dataDxfId="102"/>
    <tableColumn id="8" uniqueName="8" name="SEQ" queryTableFieldId="8" dataDxfId="101"/>
    <tableColumn id="30" uniqueName="30" name="Fed #" queryTableFieldId="30" dataDxfId="100">
      <calculatedColumnFormula>CONCATENATE(Table_Query_from_MS_Access_Database_2[RTE],Table_Query_from_MS_Access_Database_2[SEC],Table_Query_from_MS_Access_Database_2[SEQ])</calculatedColumnFormula>
    </tableColumn>
    <tableColumn id="9" uniqueName="9" name="PB Expected" queryTableFieldId="9" dataDxfId="99"/>
    <tableColumn id="10" uniqueName="10" name="PB Received" queryTableFieldId="10" dataDxfId="98"/>
    <tableColumn id="11" uniqueName="11" name="PF Transmitted" queryTableFieldId="11" dataDxfId="97"/>
    <tableColumn id="12" uniqueName="12" name="Finance Authorization" queryTableFieldId="12" dataDxfId="96"/>
    <tableColumn id="13" uniqueName="13" name="HURF EX" queryTableFieldId="13" dataDxfId="95"/>
    <tableColumn id="14" uniqueName="14" name="CMAQ" queryTableFieldId="14" dataDxfId="94"/>
    <tableColumn id="15" uniqueName="15" name="CMAQ 2_5" queryTableFieldId="15" dataDxfId="93"/>
    <tableColumn id="16" uniqueName="16" name="HSIP" queryTableFieldId="16" dataDxfId="92"/>
    <tableColumn id="17" uniqueName="17" name="PL" queryTableFieldId="17" dataDxfId="91"/>
    <tableColumn id="18" uniqueName="18" name="SPR" queryTableFieldId="18" dataDxfId="90"/>
    <tableColumn id="19" uniqueName="19" name="STP &lt;5" queryTableFieldId="19" dataDxfId="89"/>
    <tableColumn id="20" uniqueName="20" name="STP 5-200" queryTableFieldId="20" dataDxfId="88"/>
    <tableColumn id="21" uniqueName="21" name="STP OVER 200K" queryTableFieldId="21" dataDxfId="87"/>
    <tableColumn id="22" uniqueName="22" name="STP OTHER" queryTableFieldId="22" dataDxfId="86"/>
    <tableColumn id="23" uniqueName="23" name="HIP &gt;200" queryTableFieldId="23" dataDxfId="85"/>
    <tableColumn id="24" uniqueName="24" name="TAP &lt;5" queryTableFieldId="24" dataDxfId="84"/>
    <tableColumn id="25" uniqueName="25" name="TAP 5-200" queryTableFieldId="25" dataDxfId="83"/>
    <tableColumn id="26" uniqueName="26" name="TA OVER 200K" queryTableFieldId="26" dataDxfId="82"/>
    <tableColumn id="27" uniqueName="27" name="TAP Flex" queryTableFieldId="27" dataDxfId="81"/>
    <tableColumn id="28" uniqueName="28" name="TOTAL OF AMOUNT" queryTableFieldId="29" dataDxfId="80">
      <calculatedColumnFormula>SUM(Table_Query_from_MS_Access_Database_2[[#This Row],[HURF EX]:[TAP Flex]])</calculatedColumnFormula>
    </tableColumn>
    <tableColumn id="29" uniqueName="29" name="EXPECTED DECLINING BALANCE OA" queryTableFieldId="28" dataDxfId="0">
      <calculatedColumnFormula>AD115-Table_Query_from_MS_Access_Database_2[TOTAL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6" name="Table6" displayName="Table6" ref="N133:AD137" totalsRowShown="0" headerRowDxfId="146" dataDxfId="144" headerRowBorderDxfId="145" tableBorderDxfId="143" totalsRowBorderDxfId="142" headerRowCellStyle="Currency">
  <autoFilter ref="N133:AD137"/>
  <tableColumns count="17">
    <tableColumn id="1" name="HURF EX" dataDxfId="141"/>
    <tableColumn id="2" name="CMAQ" dataDxfId="140">
      <calculatedColumnFormula>+O133-#REF!</calculatedColumnFormula>
    </tableColumn>
    <tableColumn id="3" name="CMAQ 2_5" dataDxfId="139">
      <calculatedColumnFormula>+P133-#REF!</calculatedColumnFormula>
    </tableColumn>
    <tableColumn id="4" name="HSIP/3" dataDxfId="138">
      <calculatedColumnFormula>+Q133-#REF!</calculatedColumnFormula>
    </tableColumn>
    <tableColumn id="5" name="PL" dataDxfId="137">
      <calculatedColumnFormula>+R133-#REF!</calculatedColumnFormula>
    </tableColumn>
    <tableColumn id="12" name="SPR /4" dataDxfId="136">
      <calculatedColumnFormula>S132+S133</calculatedColumnFormula>
    </tableColumn>
    <tableColumn id="13" name="STP &lt;5" dataDxfId="135">
      <calculatedColumnFormula>U129</calculatedColumnFormula>
    </tableColumn>
    <tableColumn id="14" name="STP 5-2" dataDxfId="134"/>
    <tableColumn id="6" name="STP OVER 200K" dataDxfId="133">
      <calculatedColumnFormula>+#REF!-V133</calculatedColumnFormula>
    </tableColumn>
    <tableColumn id="15" name="STP other" dataDxfId="132">
      <calculatedColumnFormula>X129</calculatedColumnFormula>
    </tableColumn>
    <tableColumn id="17" name="HIP &gt;200" dataDxfId="131"/>
    <tableColumn id="16" name="TAP &lt;5" dataDxfId="130">
      <calculatedColumnFormula>Y129</calculatedColumnFormula>
    </tableColumn>
    <tableColumn id="8" name="TAP 5-2" dataDxfId="129"/>
    <tableColumn id="9" name="TA OVER 200K" dataDxfId="128"/>
    <tableColumn id="7" name="TAP Flex" dataDxfId="127"/>
    <tableColumn id="10" name="Total" dataDxfId="126">
      <calculatedColumnFormula>+SUM(Table6[[#This Row],[HURF EX]:[TAP Flex]])</calculatedColumnFormula>
    </tableColumn>
    <tableColumn id="11" name="OA" dataDxfId="125">
      <calculatedColumnFormula>+#REF!-AD133</calculatedColumnFormula>
    </tableColumn>
  </tableColumns>
  <tableStyleInfo name="Table Style 4" showFirstColumn="0" showLastColumn="0" showRowStripes="1" showColumnStripes="0"/>
</table>
</file>

<file path=xl/tables/table5.xml><?xml version="1.0" encoding="utf-8"?>
<table xmlns="http://schemas.openxmlformats.org/spreadsheetml/2006/main" id="4" name="Table_Query_from_MS_Access_Database" displayName="Table_Query_from_MS_Access_Database" ref="A11:Y49" tableType="queryTable" totalsRowShown="0" headerRowDxfId="124" dataDxfId="122" headerRowBorderDxfId="123" tableBorderDxfId="121" totalsRowBorderDxfId="120" headerRowCellStyle="Comma" dataCellStyle="Comma">
  <autoFilter ref="A11:Y49"/>
  <tableColumns count="25">
    <tableColumn id="1" uniqueName="1" name="Transaction Year" queryTableFieldId="1" dataDxfId="25" dataCellStyle="Comma"/>
    <tableColumn id="2" uniqueName="2" name="Transaction Type" queryTableFieldId="2" dataDxfId="24" dataCellStyle="Comma"/>
    <tableColumn id="3" uniqueName="3" name="Number" queryTableFieldId="3" dataDxfId="23" dataCellStyle="Comma"/>
    <tableColumn id="4" uniqueName="4" name="From" queryTableFieldId="4" dataDxfId="22" dataCellStyle="Comma"/>
    <tableColumn id="5" uniqueName="5" name="To" queryTableFieldId="5" dataDxfId="21" dataCellStyle="Comma"/>
    <tableColumn id="6" uniqueName="6" name="Repayment Year" queryTableFieldId="6" dataDxfId="20" dataCellStyle="Comma"/>
    <tableColumn id="7" uniqueName="7" name="Project8" queryTableFieldId="7" dataDxfId="19" dataCellStyle="Comma"/>
    <tableColumn id="8" uniqueName="8" name="Notes" queryTableFieldId="8" dataDxfId="18" dataCellStyle="Comma"/>
    <tableColumn id="9" uniqueName="9" name="Total" queryTableFieldId="9" dataDxfId="17" dataCellStyle="Comma"/>
    <tableColumn id="10" uniqueName="10" name="CMAQ" queryTableFieldId="10" dataDxfId="16" dataCellStyle="Comma"/>
    <tableColumn id="11" uniqueName="11" name="CMAQ 25" queryTableFieldId="11" dataDxfId="15" dataCellStyle="Comma"/>
    <tableColumn id="12" uniqueName="12" name="HURF Exchange" queryTableFieldId="12" dataDxfId="14" dataCellStyle="Comma"/>
    <tableColumn id="13" uniqueName="13" name="HSIP" queryTableFieldId="13" dataDxfId="13" dataCellStyle="Comma"/>
    <tableColumn id="14" uniqueName="14" name="PLAN" queryTableFieldId="14" dataDxfId="12" dataCellStyle="Comma"/>
    <tableColumn id="15" uniqueName="15" name="SPR" queryTableFieldId="15" dataDxfId="11" dataCellStyle="Comma"/>
    <tableColumn id="16" uniqueName="16" name="STP &lt;5" queryTableFieldId="16" dataDxfId="10" dataCellStyle="Comma"/>
    <tableColumn id="17" uniqueName="17" name="STP 5-2" queryTableFieldId="17" dataDxfId="9" dataCellStyle="Comma"/>
    <tableColumn id="18" uniqueName="18" name="STP &gt;200" queryTableFieldId="18" dataDxfId="8" dataCellStyle="Comma"/>
    <tableColumn id="19" uniqueName="19" name="STP Flex" queryTableFieldId="19" dataDxfId="7" dataCellStyle="Comma"/>
    <tableColumn id="20" uniqueName="20" name="HIP &gt;200" queryTableFieldId="20" dataDxfId="6" dataCellStyle="Comma"/>
    <tableColumn id="21" uniqueName="21" name="TAP &lt;5" queryTableFieldId="21" dataDxfId="5" dataCellStyle="Comma"/>
    <tableColumn id="22" uniqueName="22" name="TAP 5-2" queryTableFieldId="22" dataDxfId="4" dataCellStyle="Comma"/>
    <tableColumn id="23" uniqueName="23" name="TAP &gt;200" queryTableFieldId="23" dataDxfId="3" dataCellStyle="Comma"/>
    <tableColumn id="25" uniqueName="25" name="TAP &gt;201" queryTableFieldId="25" dataDxfId="2" dataCellStyle="Comma"/>
    <tableColumn id="24" uniqueName="24" name="TAP Flex" queryTableFieldId="24" dataDxfId="1" dataCellStyle="Comma"/>
  </tableColumns>
  <tableStyleInfo name="Table Style 4" showFirstColumn="0" showLastColumn="0" showRowStripes="1" showColumnStripes="0"/>
</table>
</file>

<file path=xl/tables/table6.xml><?xml version="1.0" encoding="utf-8"?>
<table xmlns="http://schemas.openxmlformats.org/spreadsheetml/2006/main" id="5" name="Table_Query_from_MS_Access_Database_16" displayName="Table_Query_from_MS_Access_Database_16" ref="A53:X85" tableType="queryTable" totalsRowShown="0" headerRowDxfId="119" dataDxfId="118" tableBorderDxfId="117" headerRowCellStyle="Comma" dataCellStyle="Comma">
  <autoFilter ref="A53:X85"/>
  <tableColumns count="24">
    <tableColumn id="2" uniqueName="2" name="Transaction Year" queryTableFieldId="1" dataDxfId="49" dataCellStyle="Comma"/>
    <tableColumn id="3" uniqueName="3" name="Transaction Type" queryTableFieldId="2" dataDxfId="48" dataCellStyle="Comma"/>
    <tableColumn id="4" uniqueName="4" name="Number" queryTableFieldId="3" dataDxfId="47" dataCellStyle="Comma"/>
    <tableColumn id="5" uniqueName="5" name="From" queryTableFieldId="4" dataDxfId="46" dataCellStyle="Comma"/>
    <tableColumn id="6" uniqueName="6" name="To" queryTableFieldId="5" dataDxfId="45" dataCellStyle="Comma"/>
    <tableColumn id="7" uniqueName="7" name="Repayment Year" queryTableFieldId="6" dataDxfId="44" dataCellStyle="Comma"/>
    <tableColumn id="8" uniqueName="8" name="Project8" queryTableFieldId="7" dataDxfId="43" dataCellStyle="Comma"/>
    <tableColumn id="9" uniqueName="9" name="Notes" queryTableFieldId="8" dataDxfId="42" dataCellStyle="Comma"/>
    <tableColumn id="10" uniqueName="10" name="Total" queryTableFieldId="9" dataDxfId="41" dataCellStyle="Comma"/>
    <tableColumn id="11" uniqueName="11" name="CMAQ" queryTableFieldId="10" dataDxfId="40" dataCellStyle="Comma"/>
    <tableColumn id="12" uniqueName="12" name="CMAQ 25" queryTableFieldId="11" dataDxfId="39" dataCellStyle="Comma"/>
    <tableColumn id="13" uniqueName="13" name="HURF Exchange" queryTableFieldId="12" dataDxfId="38" dataCellStyle="Comma"/>
    <tableColumn id="14" uniqueName="14" name="HSIP" queryTableFieldId="13" dataDxfId="37" dataCellStyle="Comma"/>
    <tableColumn id="15" uniqueName="15" name="PLAN" queryTableFieldId="14" dataDxfId="36" dataCellStyle="Comma"/>
    <tableColumn id="16" uniqueName="16" name="SPR" queryTableFieldId="15" dataDxfId="35" dataCellStyle="Comma"/>
    <tableColumn id="17" uniqueName="17" name="STP &lt;5" queryTableFieldId="16" dataDxfId="34" dataCellStyle="Comma"/>
    <tableColumn id="18" uniqueName="18" name="STP 5-2" queryTableFieldId="17" dataDxfId="33" dataCellStyle="Comma"/>
    <tableColumn id="19" uniqueName="19" name="STP &gt;200" queryTableFieldId="18" dataDxfId="32" dataCellStyle="Comma"/>
    <tableColumn id="20" uniqueName="20" name="STP Flex" queryTableFieldId="19" dataDxfId="31" dataCellStyle="Comma"/>
    <tableColumn id="21" uniqueName="21" name="HIP &gt;200" queryTableFieldId="20" dataDxfId="30" dataCellStyle="Comma"/>
    <tableColumn id="22" uniqueName="22" name="TAP &lt;5" queryTableFieldId="21" dataDxfId="29" dataCellStyle="Comma"/>
    <tableColumn id="23" uniqueName="23" name="TAP 5-2" queryTableFieldId="22" dataDxfId="28" dataCellStyle="Comma"/>
    <tableColumn id="24" uniqueName="24" name="TAP &gt;200" queryTableFieldId="23" dataDxfId="27" dataCellStyle="Comma"/>
    <tableColumn id="25" uniqueName="25" name="TAP Flex" queryTableFieldId="24" dataDxfId="26" dataCellStyle="Comma"/>
  </tableColumns>
  <tableStyleInfo name="Table Style 4" showFirstColumn="0" showLastColumn="0" showRowStripes="1" showColumnStripes="0"/>
</table>
</file>

<file path=xl/tables/table7.xml><?xml version="1.0" encoding="utf-8"?>
<table xmlns="http://schemas.openxmlformats.org/spreadsheetml/2006/main" id="9" name="Table9" displayName="Table9" ref="A89:F99" totalsRowShown="0" headerRowDxfId="116" dataDxfId="115" headerRowCellStyle="Comma" dataCellStyle="Comma">
  <autoFilter ref="A89:F99"/>
  <tableColumns count="6">
    <tableColumn id="1" name="PROJECT 8" dataDxfId="114" dataCellStyle="Comma"/>
    <tableColumn id="2" name="GAN YEAR" dataDxfId="113" dataCellStyle="Comma"/>
    <tableColumn id="3" name="FUNDING TYPE" dataDxfId="112" dataCellStyle="Comma"/>
    <tableColumn id="4" name=" APPORTIONMENT_AMOUNT " dataDxfId="111" dataCellStyle="Comma"/>
    <tableColumn id="5" name="OA Amount" dataDxfId="110" dataCellStyle="Comma"/>
    <tableColumn id="6" name="Notes" dataDxfId="109"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2.bin"/><Relationship Id="rId4"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146"/>
  <sheetViews>
    <sheetView tabSelected="1" zoomScale="90" zoomScaleNormal="90" zoomScaleSheetLayoutView="25" workbookViewId="0">
      <selection sqref="A1:F1"/>
    </sheetView>
  </sheetViews>
  <sheetFormatPr defaultColWidth="32" defaultRowHeight="16.5" x14ac:dyDescent="0.25"/>
  <cols>
    <col min="1" max="1" width="12.7109375" style="33" customWidth="1"/>
    <col min="2" max="2" width="21.140625" style="33" customWidth="1"/>
    <col min="3" max="4" width="15.7109375" style="33" customWidth="1"/>
    <col min="5" max="5" width="40.7109375" style="33" customWidth="1"/>
    <col min="6" max="6" width="9.140625" style="33" hidden="1" customWidth="1"/>
    <col min="7" max="8" width="9.28515625" style="33" hidden="1" customWidth="1"/>
    <col min="9" max="9" width="12.7109375" style="33" customWidth="1"/>
    <col min="10" max="12" width="15.7109375" style="60" customWidth="1"/>
    <col min="13" max="13" width="23.7109375" style="60" customWidth="1"/>
    <col min="14" max="15" width="14.7109375" style="35" customWidth="1"/>
    <col min="16" max="16" width="16.85546875" style="35" bestFit="1" customWidth="1"/>
    <col min="17" max="20" width="14.7109375" style="35" customWidth="1"/>
    <col min="21" max="21" width="16.7109375" style="35" customWidth="1"/>
    <col min="22" max="22" width="16.28515625" style="35" customWidth="1"/>
    <col min="23" max="23" width="14.7109375" style="35" customWidth="1"/>
    <col min="24" max="26" width="14.7109375" style="33" customWidth="1"/>
    <col min="27" max="27" width="16.7109375" style="33" customWidth="1"/>
    <col min="28" max="28" width="16.7109375" style="33" hidden="1" customWidth="1"/>
    <col min="29" max="29" width="16.7109375" style="33" customWidth="1"/>
    <col min="30" max="30" width="18.7109375" style="33" customWidth="1"/>
    <col min="31" max="16384" width="32" style="33"/>
  </cols>
  <sheetData>
    <row r="1" spans="1:30" ht="23.45" customHeight="1" x14ac:dyDescent="0.25">
      <c r="A1" s="248" t="s">
        <v>97</v>
      </c>
      <c r="B1" s="248"/>
      <c r="C1" s="248"/>
      <c r="D1" s="248"/>
      <c r="E1" s="248"/>
      <c r="F1" s="248"/>
      <c r="K1" s="34"/>
      <c r="M1" s="61"/>
      <c r="N1" s="255" t="s">
        <v>82</v>
      </c>
      <c r="O1" s="255"/>
      <c r="P1" s="255"/>
      <c r="Q1" s="255"/>
      <c r="R1" s="255"/>
      <c r="S1" s="255"/>
      <c r="T1" s="255"/>
      <c r="U1" s="255"/>
      <c r="V1" s="255"/>
      <c r="W1" s="255"/>
      <c r="X1" s="255"/>
      <c r="Y1" s="255"/>
      <c r="Z1" s="255"/>
      <c r="AA1" s="255"/>
      <c r="AB1" s="255"/>
      <c r="AC1" s="255"/>
    </row>
    <row r="2" spans="1:30" ht="15.6" customHeight="1" x14ac:dyDescent="0.25">
      <c r="M2" s="61"/>
      <c r="N2" s="256" t="s">
        <v>12</v>
      </c>
      <c r="O2" s="257"/>
      <c r="P2" s="257"/>
      <c r="Q2" s="257"/>
      <c r="R2" s="257"/>
      <c r="S2" s="257"/>
      <c r="T2" s="257"/>
      <c r="U2" s="257"/>
      <c r="V2" s="257"/>
      <c r="W2" s="257"/>
      <c r="X2" s="257"/>
      <c r="Y2" s="257"/>
      <c r="Z2" s="257"/>
      <c r="AA2" s="257"/>
      <c r="AB2" s="257"/>
      <c r="AC2" s="257"/>
    </row>
    <row r="3" spans="1:30" ht="27" x14ac:dyDescent="0.25">
      <c r="A3" s="250" t="s">
        <v>85</v>
      </c>
      <c r="B3" s="250"/>
      <c r="C3" s="250"/>
      <c r="D3" s="250"/>
      <c r="E3" s="37"/>
      <c r="F3" s="37"/>
      <c r="G3" s="37"/>
      <c r="M3" s="146" t="s">
        <v>11</v>
      </c>
      <c r="N3" s="166" t="s">
        <v>257</v>
      </c>
      <c r="O3" s="165" t="s">
        <v>43</v>
      </c>
      <c r="P3" s="54" t="s">
        <v>44</v>
      </c>
      <c r="Q3" s="54" t="s">
        <v>64</v>
      </c>
      <c r="R3" s="54" t="s">
        <v>45</v>
      </c>
      <c r="S3" s="54" t="s">
        <v>59</v>
      </c>
      <c r="T3" s="54" t="s">
        <v>218</v>
      </c>
      <c r="U3" s="54" t="s">
        <v>219</v>
      </c>
      <c r="V3" s="54" t="s">
        <v>98</v>
      </c>
      <c r="W3" s="54" t="s">
        <v>258</v>
      </c>
      <c r="X3" s="54" t="s">
        <v>485</v>
      </c>
      <c r="Y3" s="54" t="s">
        <v>220</v>
      </c>
      <c r="Z3" s="54" t="s">
        <v>221</v>
      </c>
      <c r="AA3" s="54" t="s">
        <v>99</v>
      </c>
      <c r="AB3" s="54" t="s">
        <v>233</v>
      </c>
      <c r="AC3" s="152" t="s">
        <v>10</v>
      </c>
      <c r="AD3" s="151" t="s">
        <v>15</v>
      </c>
    </row>
    <row r="4" spans="1:30" s="91" customFormat="1" ht="27" x14ac:dyDescent="0.25">
      <c r="A4" s="251" t="s">
        <v>381</v>
      </c>
      <c r="B4" s="251"/>
      <c r="C4" s="251"/>
      <c r="D4" s="251"/>
      <c r="E4" s="96"/>
      <c r="F4" s="96"/>
      <c r="G4" s="96"/>
      <c r="J4" s="97"/>
      <c r="K4" s="97"/>
      <c r="L4" s="97"/>
      <c r="M4" s="147" t="s">
        <v>148</v>
      </c>
      <c r="N4" s="217">
        <v>0</v>
      </c>
      <c r="O4" s="211">
        <f>684699.64-1048176</f>
        <v>-363476.36</v>
      </c>
      <c r="P4" s="210">
        <v>0</v>
      </c>
      <c r="Q4" s="210">
        <v>0</v>
      </c>
      <c r="R4" s="210">
        <v>0</v>
      </c>
      <c r="S4" s="210">
        <v>0</v>
      </c>
      <c r="T4" s="210">
        <v>0</v>
      </c>
      <c r="U4" s="210">
        <v>0</v>
      </c>
      <c r="V4" s="212">
        <v>50843404.82</v>
      </c>
      <c r="W4" s="212">
        <v>0</v>
      </c>
      <c r="X4" s="212">
        <f>11083864</f>
        <v>11083864</v>
      </c>
      <c r="Y4" s="212">
        <v>0</v>
      </c>
      <c r="Z4" s="212">
        <v>0</v>
      </c>
      <c r="AA4" s="212">
        <v>6400547.1900000004</v>
      </c>
      <c r="AB4" s="212">
        <v>0</v>
      </c>
      <c r="AC4" s="203">
        <f>SUM(Table1[[#This Row],[CMAQ]:[TAP Flex]])</f>
        <v>67964339.650000006</v>
      </c>
      <c r="AD4" s="204">
        <f>555788.5+11083864</f>
        <v>11639652.5</v>
      </c>
    </row>
    <row r="5" spans="1:30" s="91" customFormat="1" x14ac:dyDescent="0.25">
      <c r="A5" s="176"/>
      <c r="B5" s="176"/>
      <c r="C5" s="176"/>
      <c r="D5" s="176"/>
      <c r="E5" s="96"/>
      <c r="F5" s="96"/>
      <c r="G5" s="96"/>
      <c r="J5" s="97"/>
      <c r="K5" s="97"/>
      <c r="L5" s="97"/>
      <c r="M5" s="188" t="s">
        <v>486</v>
      </c>
      <c r="N5" s="217">
        <v>0</v>
      </c>
      <c r="O5" s="211">
        <v>0</v>
      </c>
      <c r="P5" s="210">
        <v>0</v>
      </c>
      <c r="Q5" s="210">
        <v>0</v>
      </c>
      <c r="R5" s="210">
        <v>0</v>
      </c>
      <c r="S5" s="210">
        <v>0</v>
      </c>
      <c r="T5" s="210">
        <v>0</v>
      </c>
      <c r="U5" s="210">
        <v>0</v>
      </c>
      <c r="V5" s="212">
        <v>0</v>
      </c>
      <c r="W5" s="212">
        <v>0</v>
      </c>
      <c r="X5" s="212">
        <f>15616792</f>
        <v>15616792</v>
      </c>
      <c r="Y5" s="212">
        <v>0</v>
      </c>
      <c r="Z5" s="212">
        <v>0</v>
      </c>
      <c r="AA5" s="212">
        <v>0</v>
      </c>
      <c r="AB5" s="212">
        <v>0</v>
      </c>
      <c r="AC5" s="203">
        <f>SUM(Table1[[#This Row],[CMAQ]:[TAP Flex]])</f>
        <v>15616792</v>
      </c>
      <c r="AD5" s="205">
        <f>15616792</f>
        <v>15616792</v>
      </c>
    </row>
    <row r="6" spans="1:30" s="91" customFormat="1" ht="27" x14ac:dyDescent="0.25">
      <c r="A6" s="122" t="s">
        <v>147</v>
      </c>
      <c r="B6" s="99"/>
      <c r="C6" s="100">
        <v>43708</v>
      </c>
      <c r="J6" s="62"/>
      <c r="K6" s="97"/>
      <c r="L6" s="97"/>
      <c r="M6" s="148" t="s">
        <v>164</v>
      </c>
      <c r="N6" s="218">
        <v>0</v>
      </c>
      <c r="O6" s="213">
        <v>52365467</v>
      </c>
      <c r="P6" s="212">
        <v>724217</v>
      </c>
      <c r="Q6" s="212">
        <v>0</v>
      </c>
      <c r="R6" s="212">
        <v>4238129</v>
      </c>
      <c r="S6" s="212">
        <f>Notes!D13</f>
        <v>1250000</v>
      </c>
      <c r="T6" s="212">
        <v>1220668</v>
      </c>
      <c r="U6" s="212">
        <v>2603773</v>
      </c>
      <c r="V6" s="212">
        <v>60371268</v>
      </c>
      <c r="W6" s="212">
        <v>0</v>
      </c>
      <c r="X6" s="212">
        <v>0</v>
      </c>
      <c r="Y6" s="212">
        <v>153739</v>
      </c>
      <c r="Z6" s="212">
        <v>349168</v>
      </c>
      <c r="AA6" s="212">
        <v>4479692</v>
      </c>
      <c r="AB6" s="212">
        <v>0</v>
      </c>
      <c r="AC6" s="203">
        <f>SUM(Table1[[#This Row],[CMAQ]:[TAP Flex]])</f>
        <v>127756121</v>
      </c>
      <c r="AD6" s="205">
        <f>ROUND((+Table1[[#This Row],[Total]]*0.949),0)</f>
        <v>121240559</v>
      </c>
    </row>
    <row r="7" spans="1:30" s="91" customFormat="1" ht="13.5" x14ac:dyDescent="0.25">
      <c r="J7" s="97"/>
      <c r="K7" s="97"/>
      <c r="L7" s="97"/>
      <c r="M7" s="148" t="s">
        <v>73</v>
      </c>
      <c r="N7" s="218">
        <f>SUMIFS(Table_Query_from_MS_Access_Database[[#All],[HURF Exchange]],Table_Query_from_MS_Access_Database[[#All],[Transaction Year]],"2019",Table_Query_from_MS_Access_Database[[#All],[Transaction Type]],"loan in")</f>
        <v>0</v>
      </c>
      <c r="O7" s="213">
        <f>SUMIFS(Table_Query_from_MS_Access_Database[[#All],[CMAQ]],Table_Query_from_MS_Access_Database[[#All],[Transaction Year]],"2019",Table_Query_from_MS_Access_Database[[#All],[Transaction Type]],"loan in")</f>
        <v>0</v>
      </c>
      <c r="P7" s="212">
        <f>SUMIFS(Table_Query_from_MS_Access_Database[[#All],[CMAQ 25]],Table_Query_from_MS_Access_Database[[#All],[Transaction Year]],"2019",Table_Query_from_MS_Access_Database[[#All],[Transaction Type]],"loan in")</f>
        <v>0</v>
      </c>
      <c r="Q7" s="212">
        <f>SUMIFS(Table_Query_from_MS_Access_Database[[#All],[HSIP]],Table_Query_from_MS_Access_Database[[#All],[Transaction Year]],"2019",Table_Query_from_MS_Access_Database[[#All],[Transaction Type]],"loan in")</f>
        <v>0</v>
      </c>
      <c r="R7" s="212">
        <f>SUMIFS(Table_Query_from_MS_Access_Database[[#All],[PLAN]],Table_Query_from_MS_Access_Database[[#All],[PLAN]],"2019",Table_Query_from_MS_Access_Database[[#All],[Transaction Type]],"loan in")</f>
        <v>0</v>
      </c>
      <c r="S7" s="212">
        <f>SUMIFS(Table_Query_from_MS_Access_Database[[#All],[SPR]],Table_Query_from_MS_Access_Database[[#All],[Transaction Year]],"2019",Table_Query_from_MS_Access_Database[[#All],[Transaction Type]],"loan in")</f>
        <v>0</v>
      </c>
      <c r="T7" s="212">
        <f>SUMIFS(Table_Query_from_MS_Access_Database[[#All],[STP &lt;5]],Table_Query_from_MS_Access_Database[[#All],[Transaction Year]],"2019",Table_Query_from_MS_Access_Database[[#All],[Transaction Type]],"loan in")</f>
        <v>0</v>
      </c>
      <c r="U7" s="212">
        <f>SUMIFS(Table_Query_from_MS_Access_Database[[#All],[STP 5-2]],Table_Query_from_MS_Access_Database[[#All],[Transaction Year]],"2019",Table_Query_from_MS_Access_Database[[#All],[Transaction Type]],"loan in")</f>
        <v>0</v>
      </c>
      <c r="V7" s="212">
        <f>SUMIFS(Table_Query_from_MS_Access_Database[[#All],[STP &gt;200]],Table_Query_from_MS_Access_Database[[#All],[Transaction Year]],"2019",Table_Query_from_MS_Access_Database[[#All],[Transaction Type]],"loan in")</f>
        <v>0</v>
      </c>
      <c r="W7" s="212">
        <f>SUMIFS(Table_Query_from_MS_Access_Database[[#All],[STP Flex]],Table_Query_from_MS_Access_Database[[#All],[Transaction Year]],"2019",Table_Query_from_MS_Access_Database[[#All],[Transaction Type]],"loan in")</f>
        <v>0</v>
      </c>
      <c r="X7" s="212">
        <f>SUMIFS(Table_Query_from_MS_Access_Database[[#All],[HIP &gt;200]],Table_Query_from_MS_Access_Database[[#All],[Transaction Year]],"2019",Table_Query_from_MS_Access_Database[[#All],[Transaction Type]],"loan in")</f>
        <v>0</v>
      </c>
      <c r="Y7" s="212">
        <f>SUMIFS(Table_Query_from_MS_Access_Database[[#All],[HIP &gt;200]],Table_Query_from_MS_Access_Database[[#All],[Transaction Year]],"2019",Table_Query_from_MS_Access_Database[[#All],[Transaction Type]],"loan in")</f>
        <v>0</v>
      </c>
      <c r="Z7" s="212">
        <f>SUMIFS(Table_Query_from_MS_Access_Database[[#All],[TAP &lt;5]],Table_Query_from_MS_Access_Database[[#All],[Transaction Year]],"2019",Table_Query_from_MS_Access_Database[[#All],[Transaction Type]],"loan in")</f>
        <v>0</v>
      </c>
      <c r="AA7" s="212">
        <f>SUMIFS(Table_Query_from_MS_Access_Database[[#All],[TAP 5-2]],Table_Query_from_MS_Access_Database[[#All],[Transaction Year]],"2019",Table_Query_from_MS_Access_Database[[#All],[Transaction Type]],"loan in")</f>
        <v>0</v>
      </c>
      <c r="AB7" s="212">
        <f>SUMIFS(Table_Query_from_MS_Access_Database[[#All],[TAP Flex]],Table_Query_from_MS_Access_Database[[#All],[Transaction Year]],"2019",Table_Query_from_MS_Access_Database[[#All],[Transaction Type]],"loan in")</f>
        <v>0</v>
      </c>
      <c r="AC7" s="203">
        <f>SUM(Table1[[#This Row],[HURF EX]:[TAP Flex]])</f>
        <v>0</v>
      </c>
      <c r="AD7" s="206">
        <f>SUMIFS(Table_Query_from_MS_Access_Database_16[[#All],[Total]],Table_Query_from_MS_Access_Database_16[[#All],[Transaction Year]],"2019",Table_Query_from_MS_Access_Database_16[[#All],[Transaction Type]],"loan in")</f>
        <v>0</v>
      </c>
    </row>
    <row r="8" spans="1:30" s="91" customFormat="1" ht="13.5" x14ac:dyDescent="0.25">
      <c r="A8" s="98"/>
      <c r="J8" s="97"/>
      <c r="K8" s="97"/>
      <c r="L8" s="97"/>
      <c r="M8" s="148" t="s">
        <v>74</v>
      </c>
      <c r="N8" s="218">
        <f>SUMIFS(Table_Query_from_MS_Access_Database[[#All],[HURF Exchange]],Table_Query_from_MS_Access_Database[[#All],[Transaction Year]],"2019",Table_Query_from_MS_Access_Database[[#All],[Transaction Type]],"loan Out")</f>
        <v>0</v>
      </c>
      <c r="O8" s="213">
        <f>SUMIFS(Table_Query_from_MS_Access_Database[[#All],[CMAQ]],Table_Query_from_MS_Access_Database[[#All],[Transaction Year]],"2019",Table_Query_from_MS_Access_Database[[#All],[Transaction Type]],"loan Out")</f>
        <v>0</v>
      </c>
      <c r="P8" s="212">
        <f>SUMIFS(Table_Query_from_MS_Access_Database[[#All],[CMAQ 25]],Table_Query_from_MS_Access_Database[[#All],[Transaction Year]],"2019",Table_Query_from_MS_Access_Database[[#All],[Transaction Type]],"loan Out")</f>
        <v>0</v>
      </c>
      <c r="Q8" s="212">
        <f>SUMIFS(Table_Query_from_MS_Access_Database[[#All],[HSIP]],Table_Query_from_MS_Access_Database[[#All],[Transaction Year]],"2019",Table_Query_from_MS_Access_Database[[#All],[Transaction Type]],"loan Out")</f>
        <v>0</v>
      </c>
      <c r="R8" s="212">
        <f>SUMIFS(Table_Query_from_MS_Access_Database[[#All],[PLAN]],Table_Query_from_MS_Access_Database[[#All],[PLAN]],"2019",Table_Query_from_MS_Access_Database[[#All],[Transaction Type]],"loan Out")</f>
        <v>0</v>
      </c>
      <c r="S8" s="212">
        <f>SUMIFS(Table_Query_from_MS_Access_Database[[#All],[SPR]],Table_Query_from_MS_Access_Database[[#All],[Transaction Year]],"2019",Table_Query_from_MS_Access_Database[[#All],[Transaction Type]],"loan Out")</f>
        <v>0</v>
      </c>
      <c r="T8" s="212">
        <f>SUMIFS(Table_Query_from_MS_Access_Database[[#All],[STP &lt;5]],Table_Query_from_MS_Access_Database[[#All],[Transaction Year]],"2019",Table_Query_from_MS_Access_Database[[#All],[Transaction Type]],"loan Out")</f>
        <v>0</v>
      </c>
      <c r="U8" s="212">
        <f>SUMIFS(Table_Query_from_MS_Access_Database[[#All],[STP 5-2]],Table_Query_from_MS_Access_Database[[#All],[Transaction Year]],"2019",Table_Query_from_MS_Access_Database[[#All],[Transaction Type]],"loan Out")</f>
        <v>0</v>
      </c>
      <c r="V8" s="212">
        <f>SUMIFS(Table_Query_from_MS_Access_Database[[#All],[STP &gt;200]],Table_Query_from_MS_Access_Database[[#All],[Transaction Year]],"2019",Table_Query_from_MS_Access_Database[[#All],[Transaction Type]],"loan Out")</f>
        <v>0</v>
      </c>
      <c r="W8" s="212">
        <f>SUMIFS(Table_Query_from_MS_Access_Database[[#All],[STP Flex]],Table_Query_from_MS_Access_Database[[#All],[Transaction Year]],"2019",Table_Query_from_MS_Access_Database[[#All],[Transaction Type]],"loan Out")</f>
        <v>0</v>
      </c>
      <c r="X8" s="212">
        <f>SUMIFS(Table_Query_from_MS_Access_Database[[#All],[HIP &gt;200]],Table_Query_from_MS_Access_Database[[#All],[Transaction Year]],"2019",Table_Query_from_MS_Access_Database[[#All],[Transaction Type]],"loan Out")</f>
        <v>0</v>
      </c>
      <c r="Y8" s="212">
        <f>SUMIFS(Table_Query_from_MS_Access_Database[[#All],[HIP &gt;200]],Table_Query_from_MS_Access_Database[[#All],[Transaction Year]],"2019",Table_Query_from_MS_Access_Database[[#All],[Transaction Type]],"loan Out")</f>
        <v>0</v>
      </c>
      <c r="Z8" s="212">
        <f>SUMIFS(Table_Query_from_MS_Access_Database[[#All],[TAP &lt;5]],Table_Query_from_MS_Access_Database[[#All],[Transaction Year]],"2019",Table_Query_from_MS_Access_Database[[#All],[Transaction Type]],"loan Out")</f>
        <v>0</v>
      </c>
      <c r="AA8" s="212">
        <f>SUMIFS(Table_Query_from_MS_Access_Database[[#All],[TAP 5-2]],Table_Query_from_MS_Access_Database[[#All],[Transaction Year]],"2019",Table_Query_from_MS_Access_Database[[#All],[Transaction Type]],"loan Out")</f>
        <v>0</v>
      </c>
      <c r="AB8" s="212">
        <f>SUMIFS(Table_Query_from_MS_Access_Database[[#All],[TAP Flex]],Table_Query_from_MS_Access_Database[[#All],[Transaction Year]],"2019",Table_Query_from_MS_Access_Database[[#All],[Transaction Type]],"loan Out")</f>
        <v>0</v>
      </c>
      <c r="AC8" s="203">
        <f>SUM(Table1[[#This Row],[CMAQ]:[TAP Flex]])</f>
        <v>0</v>
      </c>
      <c r="AD8" s="206">
        <f>SUMIFS(Table_Query_from_MS_Access_Database_16[[#All],[Total]],Table_Query_from_MS_Access_Database_16[[#All],[Transaction Year]],"2019",Table_Query_from_MS_Access_Database_16[[#All],[Transaction Type]],"loan out")</f>
        <v>0</v>
      </c>
    </row>
    <row r="9" spans="1:30" s="91" customFormat="1" ht="13.5" x14ac:dyDescent="0.25">
      <c r="J9" s="97"/>
      <c r="K9" s="97"/>
      <c r="L9" s="97"/>
      <c r="M9" s="147" t="s">
        <v>75</v>
      </c>
      <c r="N9" s="218">
        <f>SUMIFS(Table_Query_from_MS_Access_Database[[#All],[HURF Exchange]],Table_Query_from_MS_Access_Database[[#All],[Transaction Year]],"2019",Table_Query_from_MS_Access_Database[[#All],[Transaction Type]],"repayment in")</f>
        <v>0</v>
      </c>
      <c r="O9" s="213">
        <f>SUMIFS(Table_Query_from_MS_Access_Database[[#All],[CMAQ]],Table_Query_from_MS_Access_Database[[#All],[Transaction Year]],"2019",Table_Query_from_MS_Access_Database[[#All],[Transaction Type]],"repayment in")</f>
        <v>0</v>
      </c>
      <c r="P9" s="212">
        <f>SUMIFS(Table_Query_from_MS_Access_Database[[#All],[CMAQ 25]],Table_Query_from_MS_Access_Database[[#All],[Transaction Year]],"2019",Table_Query_from_MS_Access_Database[[#All],[Transaction Type]],"repayment in")</f>
        <v>0</v>
      </c>
      <c r="Q9" s="212">
        <f>SUMIFS(Table_Query_from_MS_Access_Database[[#All],[HSIP]],Table_Query_from_MS_Access_Database[[#All],[Transaction Year]],"2019",Table_Query_from_MS_Access_Database[[#All],[Transaction Type]],"repayment in")</f>
        <v>0</v>
      </c>
      <c r="R9" s="212">
        <f>SUMIFS(Table_Query_from_MS_Access_Database[[#All],[PLAN]],Table_Query_from_MS_Access_Database[[#All],[PLAN]],"2019",Table_Query_from_MS_Access_Database[[#All],[Transaction Type]],"repayment in")</f>
        <v>0</v>
      </c>
      <c r="S9" s="212">
        <f>SUMIFS(Table_Query_from_MS_Access_Database[[#All],[SPR]],Table_Query_from_MS_Access_Database[[#All],[Transaction Year]],"2019",Table_Query_from_MS_Access_Database[[#All],[Transaction Type]],"repayment in")</f>
        <v>0</v>
      </c>
      <c r="T9" s="212">
        <f>SUMIFS(Table_Query_from_MS_Access_Database[[#All],[STP &lt;5]],Table_Query_from_MS_Access_Database[[#All],[Transaction Year]],"2019",Table_Query_from_MS_Access_Database[[#All],[Transaction Type]],"repayment in")</f>
        <v>0</v>
      </c>
      <c r="U9" s="212">
        <f>SUMIFS(Table_Query_from_MS_Access_Database[[#All],[STP 5-2]],Table_Query_from_MS_Access_Database[[#All],[Transaction Year]],"2019",Table_Query_from_MS_Access_Database[[#All],[Transaction Type]],"repayment in")</f>
        <v>0</v>
      </c>
      <c r="V9" s="212">
        <f>SUMIFS(Table_Query_from_MS_Access_Database[[#All],[STP &gt;200]],Table_Query_from_MS_Access_Database[[#All],[Transaction Year]],"2019",Table_Query_from_MS_Access_Database[[#All],[Transaction Type]],"repayment in")</f>
        <v>0</v>
      </c>
      <c r="W9" s="212">
        <f>SUMIFS(Table_Query_from_MS_Access_Database[[#All],[STP Flex]],Table_Query_from_MS_Access_Database[[#All],[Transaction Year]],"2019",Table_Query_from_MS_Access_Database[[#All],[Transaction Type]],"repayment in")</f>
        <v>0</v>
      </c>
      <c r="X9" s="212">
        <f>SUMIFS(Table_Query_from_MS_Access_Database[[#All],[HIP &gt;200]],Table_Query_from_MS_Access_Database[[#All],[Transaction Year]],"2019",Table_Query_from_MS_Access_Database[[#All],[Transaction Type]],"repayment in")</f>
        <v>0</v>
      </c>
      <c r="Y9" s="212">
        <f>SUMIFS(Table_Query_from_MS_Access_Database[[#All],[HIP &gt;200]],Table_Query_from_MS_Access_Database[[#All],[Transaction Year]],"2019",Table_Query_from_MS_Access_Database[[#All],[Transaction Type]],"repayment in")</f>
        <v>0</v>
      </c>
      <c r="Z9" s="212">
        <f>SUMIFS(Table_Query_from_MS_Access_Database[[#All],[TAP &lt;5]],Table_Query_from_MS_Access_Database[[#All],[Transaction Year]],"2019",Table_Query_from_MS_Access_Database[[#All],[Transaction Type]],"repayment in")</f>
        <v>0</v>
      </c>
      <c r="AA9" s="212">
        <f>SUMIFS(Table_Query_from_MS_Access_Database[[#All],[TAP 5-2]],Table_Query_from_MS_Access_Database[[#All],[Transaction Year]],"2019",Table_Query_from_MS_Access_Database[[#All],[Transaction Type]],"repayment in")</f>
        <v>0</v>
      </c>
      <c r="AB9" s="212">
        <f>SUMIFS(Table_Query_from_MS_Access_Database[[#All],[TAP Flex]],Table_Query_from_MS_Access_Database[[#All],[Transaction Year]],"2019",Table_Query_from_MS_Access_Database[[#All],[Transaction Type]],"repayment in")</f>
        <v>0</v>
      </c>
      <c r="AC9" s="203">
        <f>SUM(Table1[[#This Row],[CMAQ]:[TAP Flex]])</f>
        <v>0</v>
      </c>
      <c r="AD9" s="206">
        <f>SUMIFS(Table_Query_from_MS_Access_Database_16[[#All],[Total]],Table_Query_from_MS_Access_Database_16[[#All],[Transaction Year]],"2019",Table_Query_from_MS_Access_Database_16[[#All],[Transaction Type]],"repayment In")</f>
        <v>0</v>
      </c>
    </row>
    <row r="10" spans="1:30" s="91" customFormat="1" ht="13.5" x14ac:dyDescent="0.25">
      <c r="A10" s="249" t="s">
        <v>145</v>
      </c>
      <c r="B10" s="249"/>
      <c r="C10" s="249"/>
      <c r="D10" s="249"/>
      <c r="E10" s="249"/>
      <c r="F10" s="249"/>
      <c r="G10" s="249"/>
      <c r="H10" s="249"/>
      <c r="I10" s="249"/>
      <c r="J10" s="249"/>
      <c r="K10" s="249"/>
      <c r="L10" s="249"/>
      <c r="M10" s="148" t="s">
        <v>76</v>
      </c>
      <c r="N10" s="218">
        <f>SUMIFS(Table_Query_from_MS_Access_Database[[#All],[HURF Exchange]],Table_Query_from_MS_Access_Database[[#All],[Transaction Year]],"2019",Table_Query_from_MS_Access_Database[[#All],[Transaction Type]],"repayment Out")</f>
        <v>0</v>
      </c>
      <c r="O10" s="213">
        <f>SUMIFS(Table_Query_from_MS_Access_Database[[#All],[CMAQ]],Table_Query_from_MS_Access_Database[[#All],[Transaction Year]],"2019",Table_Query_from_MS_Access_Database[[#All],[Transaction Type]],"repayment Out")</f>
        <v>0</v>
      </c>
      <c r="P10" s="212">
        <f>SUMIFS(Table_Query_from_MS_Access_Database[[#All],[CMAQ 25]],Table_Query_from_MS_Access_Database[[#All],[Transaction Year]],"2019",Table_Query_from_MS_Access_Database[[#All],[Transaction Type]],"repayment Out")</f>
        <v>0</v>
      </c>
      <c r="Q10" s="212">
        <f>SUMIFS(Table_Query_from_MS_Access_Database[[#All],[HSIP]],Table_Query_from_MS_Access_Database[[#All],[Transaction Year]],"2019",Table_Query_from_MS_Access_Database[[#All],[Transaction Type]],"repayment Out")</f>
        <v>0</v>
      </c>
      <c r="R10" s="212">
        <f>SUMIFS(Table_Query_from_MS_Access_Database[[#All],[PLAN]],Table_Query_from_MS_Access_Database[[#All],[PLAN]],"2019",Table_Query_from_MS_Access_Database[[#All],[Transaction Type]],"repayment Out")</f>
        <v>0</v>
      </c>
      <c r="S10" s="212">
        <f>SUMIFS(Table_Query_from_MS_Access_Database[[#All],[SPR]],Table_Query_from_MS_Access_Database[[#All],[Transaction Year]],"2019",Table_Query_from_MS_Access_Database[[#All],[Transaction Type]],"repayment Out")</f>
        <v>0</v>
      </c>
      <c r="T10" s="212">
        <f>SUMIFS(Table_Query_from_MS_Access_Database[[#All],[STP &lt;5]],Table_Query_from_MS_Access_Database[[#All],[Transaction Year]],"2019",Table_Query_from_MS_Access_Database[[#All],[Transaction Type]],"repayment Out")</f>
        <v>0</v>
      </c>
      <c r="U10" s="212">
        <f>SUMIFS(Table_Query_from_MS_Access_Database[[#All],[STP 5-2]],Table_Query_from_MS_Access_Database[[#All],[Transaction Year]],"2019",Table_Query_from_MS_Access_Database[[#All],[Transaction Type]],"repayment Out")</f>
        <v>0</v>
      </c>
      <c r="V10" s="212">
        <f>SUMIFS(Table_Query_from_MS_Access_Database[[#All],[STP &gt;200]],Table_Query_from_MS_Access_Database[[#All],[Transaction Year]],"2019",Table_Query_from_MS_Access_Database[[#All],[Transaction Type]],"repayment Out")</f>
        <v>-2831230</v>
      </c>
      <c r="W10" s="212">
        <f>SUMIFS(Table_Query_from_MS_Access_Database[[#All],[STP Flex]],Table_Query_from_MS_Access_Database[[#All],[Transaction Year]],"2019",Table_Query_from_MS_Access_Database[[#All],[Transaction Type]],"repayment Out")</f>
        <v>0</v>
      </c>
      <c r="X10" s="212">
        <f>SUMIFS(Table_Query_from_MS_Access_Database[[#All],[HIP &gt;200]],Table_Query_from_MS_Access_Database[[#All],[Transaction Year]],"2019",Table_Query_from_MS_Access_Database[[#All],[Transaction Type]],"repayment Out")</f>
        <v>0</v>
      </c>
      <c r="Y10" s="212">
        <f>SUMIFS(Table_Query_from_MS_Access_Database[[#All],[HIP &gt;200]],Table_Query_from_MS_Access_Database[[#All],[Transaction Year]],"2019",Table_Query_from_MS_Access_Database[[#All],[Transaction Type]],"repayment Out")</f>
        <v>0</v>
      </c>
      <c r="Z10" s="212">
        <f>SUMIFS(Table_Query_from_MS_Access_Database[[#All],[TAP &lt;5]],Table_Query_from_MS_Access_Database[[#All],[Transaction Year]],"2019",Table_Query_from_MS_Access_Database[[#All],[Transaction Type]],"repayment Out")</f>
        <v>0</v>
      </c>
      <c r="AA10" s="212">
        <f>SUMIFS(Table_Query_from_MS_Access_Database[[#All],[TAP 5-2]],Table_Query_from_MS_Access_Database[[#All],[Transaction Year]],"2019",Table_Query_from_MS_Access_Database[[#All],[Transaction Type]],"repayment Out")</f>
        <v>0</v>
      </c>
      <c r="AB10" s="212">
        <f>SUMIFS(Table_Query_from_MS_Access_Database[[#All],[TAP Flex]],Table_Query_from_MS_Access_Database[[#All],[Transaction Year]],"2019",Table_Query_from_MS_Access_Database[[#All],[Transaction Type]],"repayment Out")</f>
        <v>0</v>
      </c>
      <c r="AC10" s="203">
        <f>SUM(Table1[[#This Row],[CMAQ]:[TAP Flex]])</f>
        <v>-2831230</v>
      </c>
      <c r="AD10" s="206">
        <f>SUMIFS(Table_Query_from_MS_Access_Database_16[[#All],[Total]],Table_Query_from_MS_Access_Database_16[[#All],[Transaction Year]],"2019",Table_Query_from_MS_Access_Database_16[[#All],[Transaction Type]],"repayment out")</f>
        <v>-2831230</v>
      </c>
    </row>
    <row r="11" spans="1:30" s="91" customFormat="1" ht="13.5" x14ac:dyDescent="0.25">
      <c r="J11" s="97"/>
      <c r="K11" s="97"/>
      <c r="L11" s="97"/>
      <c r="M11" s="148" t="s">
        <v>77</v>
      </c>
      <c r="N11" s="218">
        <f>SUMIFS(Table_Query_from_MS_Access_Database[[#All],[HURF Exchange]],Table_Query_from_MS_Access_Database[[#All],[Transaction Year]],"2019",Table_Query_from_MS_Access_Database[[#All],[Transaction Type]],"Transfer in")</f>
        <v>0</v>
      </c>
      <c r="O11" s="213">
        <f>SUMIFS(Table_Query_from_MS_Access_Database[[#All],[CMAQ]],Table_Query_from_MS_Access_Database[[#All],[Transaction Year]],"2019",Table_Query_from_MS_Access_Database[[#All],[Transaction Type]],"Transfer in")</f>
        <v>0</v>
      </c>
      <c r="P11" s="212">
        <f>SUMIFS(Table_Query_from_MS_Access_Database[[#All],[CMAQ 25]],Table_Query_from_MS_Access_Database[[#All],[Transaction Year]],"2019",Table_Query_from_MS_Access_Database[[#All],[Transaction Type]],"Transfer in")</f>
        <v>0</v>
      </c>
      <c r="Q11" s="212">
        <f>SUMIFS(Table_Query_from_MS_Access_Database[[#All],[HSIP]],Table_Query_from_MS_Access_Database[[#All],[Transaction Year]],"2019",Table_Query_from_MS_Access_Database[[#All],[Transaction Type]],"Transfer in")</f>
        <v>0</v>
      </c>
      <c r="R11" s="212">
        <f>SUMIFS(Table_Query_from_MS_Access_Database[[#All],[PLAN]],Table_Query_from_MS_Access_Database[[#All],[PLAN]],"2019",Table_Query_from_MS_Access_Database[[#All],[Transaction Type]],"Transfer in")</f>
        <v>0</v>
      </c>
      <c r="S11" s="212">
        <f>SUMIFS(Table_Query_from_MS_Access_Database[[#All],[SPR]],Table_Query_from_MS_Access_Database[[#All],[Transaction Year]],"2019",Table_Query_from_MS_Access_Database[[#All],[Transaction Type]],"Transfer in")</f>
        <v>0</v>
      </c>
      <c r="T11" s="212">
        <f>SUMIFS(Table_Query_from_MS_Access_Database[[#All],[STP &lt;5]],Table_Query_from_MS_Access_Database[[#All],[Transaction Year]],"2019",Table_Query_from_MS_Access_Database[[#All],[Transaction Type]],"Transfer in")</f>
        <v>0</v>
      </c>
      <c r="U11" s="212">
        <f>SUMIFS(Table_Query_from_MS_Access_Database[[#All],[STP 5-2]],Table_Query_from_MS_Access_Database[[#All],[Transaction Year]],"2019",Table_Query_from_MS_Access_Database[[#All],[Transaction Type]],"Transfer in")</f>
        <v>0</v>
      </c>
      <c r="V11" s="212">
        <f>SUMIFS(Table_Query_from_MS_Access_Database[[#All],[STP &gt;200]],Table_Query_from_MS_Access_Database[[#All],[Transaction Year]],"2019",Table_Query_from_MS_Access_Database[[#All],[Transaction Type]],"Transfer in")</f>
        <v>0</v>
      </c>
      <c r="W11" s="212">
        <f>SUMIFS(Table_Query_from_MS_Access_Database[[#All],[STP Flex]],Table_Query_from_MS_Access_Database[[#All],[Transaction Year]],"2019",Table_Query_from_MS_Access_Database[[#All],[Transaction Type]],"Transfer in")</f>
        <v>0</v>
      </c>
      <c r="X11" s="212">
        <f>SUMIFS(Table_Query_from_MS_Access_Database[[#All],[HIP &gt;200]],Table_Query_from_MS_Access_Database[[#All],[Transaction Year]],"2019",Table_Query_from_MS_Access_Database[[#All],[Transaction Type]],"Transfer in")</f>
        <v>0</v>
      </c>
      <c r="Y11" s="212">
        <f>SUMIFS(Table_Query_from_MS_Access_Database[[#All],[HIP &gt;200]],Table_Query_from_MS_Access_Database[[#All],[Transaction Year]],"2019",Table_Query_from_MS_Access_Database[[#All],[Transaction Type]],"Transfer in")</f>
        <v>0</v>
      </c>
      <c r="Z11" s="212">
        <f>SUMIFS(Table_Query_from_MS_Access_Database[[#All],[TAP &lt;5]],Table_Query_from_MS_Access_Database[[#All],[Transaction Year]],"2019",Table_Query_from_MS_Access_Database[[#All],[Transaction Type]],"Transfer in")</f>
        <v>0</v>
      </c>
      <c r="AA11" s="212">
        <f>SUMIFS(Table_Query_from_MS_Access_Database[[#All],[TAP 5-2]],Table_Query_from_MS_Access_Database[[#All],[Transaction Year]],"2019",Table_Query_from_MS_Access_Database[[#All],[Transaction Type]],"Transfer in")</f>
        <v>0</v>
      </c>
      <c r="AB11" s="212">
        <f>SUMIFS(Table_Query_from_MS_Access_Database[[#All],[TAP Flex]],Table_Query_from_MS_Access_Database[[#All],[Transaction Year]],"2019",Table_Query_from_MS_Access_Database[[#All],[Transaction Type]],"Transfer in")</f>
        <v>0</v>
      </c>
      <c r="AC11" s="203">
        <f>SUM(Table1[[#This Row],[CMAQ]:[TAP Flex]])</f>
        <v>0</v>
      </c>
      <c r="AD11" s="206">
        <f>SUMIFS(Table_Query_from_MS_Access_Database_16[[#All],[Total]],Table_Query_from_MS_Access_Database_16[[#All],[Transaction Year]],"2019",Table_Query_from_MS_Access_Database_16[[#All],[Transaction Type]],"transfer In")</f>
        <v>0</v>
      </c>
    </row>
    <row r="12" spans="1:30" s="91" customFormat="1" ht="13.5" x14ac:dyDescent="0.25">
      <c r="F12" s="118"/>
      <c r="G12" s="118"/>
      <c r="J12" s="97"/>
      <c r="K12" s="97"/>
      <c r="L12" s="97"/>
      <c r="M12" s="148" t="s">
        <v>78</v>
      </c>
      <c r="N12" s="218">
        <f>SUMIFS(Table_Query_from_MS_Access_Database[[#All],[HURF Exchange]],Table_Query_from_MS_Access_Database[[#All],[Transaction Year]],"2019",Table_Query_from_MS_Access_Database[[#All],[Transaction Type]],"Transfer Out")</f>
        <v>0</v>
      </c>
      <c r="O12" s="213">
        <f>SUMIFS(Table_Query_from_MS_Access_Database[[#All],[CMAQ]],Table_Query_from_MS_Access_Database[[#All],[Transaction Year]],"2019",Table_Query_from_MS_Access_Database[[#All],[Transaction Type]],"Transfer Out")</f>
        <v>0</v>
      </c>
      <c r="P12" s="212">
        <f>SUMIFS(Table_Query_from_MS_Access_Database[[#All],[CMAQ 25]],Table_Query_from_MS_Access_Database[[#All],[Transaction Year]],"2019",Table_Query_from_MS_Access_Database[[#All],[Transaction Type]],"Transfer Out")</f>
        <v>0</v>
      </c>
      <c r="Q12" s="212">
        <f>SUMIFS(Table_Query_from_MS_Access_Database[[#All],[HSIP]],Table_Query_from_MS_Access_Database[[#All],[Transaction Year]],"2019",Table_Query_from_MS_Access_Database[[#All],[Transaction Type]],"Transfer Out")</f>
        <v>0</v>
      </c>
      <c r="R12" s="212">
        <f>SUMIFS(Table_Query_from_MS_Access_Database[[#All],[PLAN]],Table_Query_from_MS_Access_Database[[#All],[PLAN]],"2019",Table_Query_from_MS_Access_Database[[#All],[Transaction Type]],"Transfer Out")</f>
        <v>0</v>
      </c>
      <c r="S12" s="212">
        <f>SUMIFS(Table_Query_from_MS_Access_Database[[#All],[SPR]],Table_Query_from_MS_Access_Database[[#All],[Transaction Year]],"2019",Table_Query_from_MS_Access_Database[[#All],[Transaction Type]],"Transfer Out")</f>
        <v>0</v>
      </c>
      <c r="T12" s="212">
        <f>SUMIFS(Table_Query_from_MS_Access_Database[[#All],[STP &lt;5]],Table_Query_from_MS_Access_Database[[#All],[Transaction Year]],"2019",Table_Query_from_MS_Access_Database[[#All],[Transaction Type]],"Transfer Out")</f>
        <v>0</v>
      </c>
      <c r="U12" s="212">
        <f>SUMIFS(Table_Query_from_MS_Access_Database[[#All],[STP 5-2]],Table_Query_from_MS_Access_Database[[#All],[Transaction Year]],"2019",Table_Query_from_MS_Access_Database[[#All],[Transaction Type]],"Transfer Out")</f>
        <v>0</v>
      </c>
      <c r="V12" s="212">
        <f>SUMIFS(Table_Query_from_MS_Access_Database[[#All],[STP &gt;200]],Table_Query_from_MS_Access_Database[[#All],[Transaction Year]],"2019",Table_Query_from_MS_Access_Database[[#All],[Transaction Type]],"Transfer Out")</f>
        <v>-776983</v>
      </c>
      <c r="W12" s="212">
        <f>SUMIFS(Table_Query_from_MS_Access_Database[[#All],[STP Flex]],Table_Query_from_MS_Access_Database[[#All],[Transaction Year]],"2019",Table_Query_from_MS_Access_Database[[#All],[Transaction Type]],"Transfer Out")</f>
        <v>0</v>
      </c>
      <c r="X12" s="212">
        <f>SUMIFS(Table_Query_from_MS_Access_Database[[#All],[HIP &gt;200]],Table_Query_from_MS_Access_Database[[#All],[Transaction Year]],"2019",Table_Query_from_MS_Access_Database[[#All],[Transaction Type]],"Transfer Out")</f>
        <v>0</v>
      </c>
      <c r="Y12" s="212">
        <f>SUMIFS(Table_Query_from_MS_Access_Database[[#All],[HIP &gt;200]],Table_Query_from_MS_Access_Database[[#All],[Transaction Year]],"2019",Table_Query_from_MS_Access_Database[[#All],[Transaction Type]],"Transfer Out")</f>
        <v>0</v>
      </c>
      <c r="Z12" s="212">
        <f>SUMIFS(Table_Query_from_MS_Access_Database[[#All],[TAP &lt;5]],Table_Query_from_MS_Access_Database[[#All],[Transaction Year]],"2019",Table_Query_from_MS_Access_Database[[#All],[Transaction Type]],"Transfer Out")</f>
        <v>0</v>
      </c>
      <c r="AA12" s="212">
        <f>SUMIFS(Table_Query_from_MS_Access_Database[[#All],[TAP 5-2]],Table_Query_from_MS_Access_Database[[#All],[Transaction Year]],"2019",Table_Query_from_MS_Access_Database[[#All],[Transaction Type]],"Transfer Out")</f>
        <v>0</v>
      </c>
      <c r="AB12" s="212">
        <f>SUMIFS(Table_Query_from_MS_Access_Database[[#All],[TAP Flex]],Table_Query_from_MS_Access_Database[[#All],[Transaction Year]],"2019",Table_Query_from_MS_Access_Database[[#All],[Transaction Type]],"Transfer Out")</f>
        <v>0</v>
      </c>
      <c r="AC12" s="203">
        <f>SUM(Table1[[#This Row],[CMAQ]:[TAP Flex]])</f>
        <v>-776983</v>
      </c>
      <c r="AD12" s="206">
        <f>SUMIFS(Table_Query_from_MS_Access_Database_16[[#All],[Total]],Table_Query_from_MS_Access_Database_16[[#All],[Transaction Year]],"2019",Table_Query_from_MS_Access_Database_16[[#All],[Transaction Type]],"transfer out")</f>
        <v>-776983</v>
      </c>
    </row>
    <row r="13" spans="1:30" s="91" customFormat="1" ht="14.25" thickBot="1" x14ac:dyDescent="0.3">
      <c r="F13" s="118"/>
      <c r="G13" s="118"/>
      <c r="J13" s="97"/>
      <c r="K13" s="97"/>
      <c r="L13" s="97"/>
      <c r="M13" s="149" t="s">
        <v>161</v>
      </c>
      <c r="N13" s="219">
        <v>0</v>
      </c>
      <c r="O13" s="214">
        <v>0</v>
      </c>
      <c r="P13" s="215">
        <v>0</v>
      </c>
      <c r="Q13" s="215">
        <v>0</v>
      </c>
      <c r="R13" s="215">
        <v>0</v>
      </c>
      <c r="S13" s="215">
        <v>0</v>
      </c>
      <c r="T13" s="215">
        <v>0</v>
      </c>
      <c r="U13" s="215">
        <v>0</v>
      </c>
      <c r="V13" s="215">
        <v>0</v>
      </c>
      <c r="W13" s="215">
        <v>0</v>
      </c>
      <c r="X13" s="215">
        <v>0</v>
      </c>
      <c r="Y13" s="215">
        <v>0</v>
      </c>
      <c r="Z13" s="215">
        <v>0</v>
      </c>
      <c r="AA13" s="215">
        <v>0</v>
      </c>
      <c r="AB13" s="215">
        <v>0</v>
      </c>
      <c r="AC13" s="203">
        <f>SUM(Table1[[#This Row],[CMAQ]:[TAP Flex]])</f>
        <v>0</v>
      </c>
      <c r="AD13" s="207">
        <v>0</v>
      </c>
    </row>
    <row r="14" spans="1:30" s="91" customFormat="1" ht="27.75" thickBot="1" x14ac:dyDescent="0.3">
      <c r="J14" s="97"/>
      <c r="K14" s="97"/>
      <c r="L14" s="97"/>
      <c r="M14" s="150" t="s">
        <v>146</v>
      </c>
      <c r="N14" s="220">
        <f t="shared" ref="N14" si="0">SUM(N4:N13)</f>
        <v>0</v>
      </c>
      <c r="O14" s="216">
        <f t="shared" ref="O14:AD14" si="1">SUM(O4:O13)</f>
        <v>52001990.640000001</v>
      </c>
      <c r="P14" s="208">
        <f t="shared" si="1"/>
        <v>724217</v>
      </c>
      <c r="Q14" s="208">
        <f t="shared" si="1"/>
        <v>0</v>
      </c>
      <c r="R14" s="208">
        <f t="shared" si="1"/>
        <v>4238129</v>
      </c>
      <c r="S14" s="208">
        <f t="shared" si="1"/>
        <v>1250000</v>
      </c>
      <c r="T14" s="208">
        <f t="shared" si="1"/>
        <v>1220668</v>
      </c>
      <c r="U14" s="208">
        <f t="shared" si="1"/>
        <v>2603773</v>
      </c>
      <c r="V14" s="208">
        <f t="shared" si="1"/>
        <v>107606459.81999999</v>
      </c>
      <c r="W14" s="208">
        <f t="shared" si="1"/>
        <v>0</v>
      </c>
      <c r="X14" s="208">
        <f t="shared" si="1"/>
        <v>26700656</v>
      </c>
      <c r="Y14" s="208">
        <f t="shared" si="1"/>
        <v>153739</v>
      </c>
      <c r="Z14" s="208">
        <f t="shared" si="1"/>
        <v>349168</v>
      </c>
      <c r="AA14" s="208">
        <f t="shared" si="1"/>
        <v>10880239.190000001</v>
      </c>
      <c r="AB14" s="208">
        <f t="shared" si="1"/>
        <v>0</v>
      </c>
      <c r="AC14" s="208">
        <f t="shared" si="1"/>
        <v>207729039.65000001</v>
      </c>
      <c r="AD14" s="209">
        <f t="shared" si="1"/>
        <v>144888790.5</v>
      </c>
    </row>
    <row r="15" spans="1:30" x14ac:dyDescent="0.25">
      <c r="N15" s="39"/>
      <c r="O15" s="40"/>
      <c r="P15" s="40"/>
      <c r="Q15" s="40"/>
      <c r="R15" s="40"/>
      <c r="S15" s="40"/>
      <c r="T15" s="38"/>
      <c r="V15" s="63"/>
      <c r="X15" s="36"/>
      <c r="Y15" s="36"/>
    </row>
    <row r="16" spans="1:30" ht="17.25" x14ac:dyDescent="0.25">
      <c r="A16" s="246" t="s">
        <v>65</v>
      </c>
      <c r="B16" s="246"/>
      <c r="C16" s="246"/>
      <c r="D16" s="246"/>
      <c r="J16" s="252" t="s">
        <v>66</v>
      </c>
      <c r="K16" s="253"/>
      <c r="L16" s="253"/>
      <c r="M16" s="254"/>
      <c r="N16" s="41"/>
      <c r="R16" s="42"/>
      <c r="S16" s="42"/>
      <c r="T16" s="42"/>
      <c r="U16" s="42"/>
      <c r="V16" s="63"/>
      <c r="W16" s="64"/>
      <c r="X16" s="36"/>
      <c r="Y16" s="36"/>
    </row>
    <row r="17" spans="1:30" s="45" customFormat="1" ht="30" x14ac:dyDescent="0.25">
      <c r="A17" s="49" t="s">
        <v>1</v>
      </c>
      <c r="B17" s="49" t="s">
        <v>0</v>
      </c>
      <c r="C17" s="49" t="s">
        <v>3</v>
      </c>
      <c r="D17" s="49" t="s">
        <v>88</v>
      </c>
      <c r="E17" s="49" t="s">
        <v>2</v>
      </c>
      <c r="F17" s="49" t="s">
        <v>50</v>
      </c>
      <c r="G17" s="49" t="s">
        <v>51</v>
      </c>
      <c r="H17" s="49" t="s">
        <v>52</v>
      </c>
      <c r="I17" s="49" t="s">
        <v>222</v>
      </c>
      <c r="J17" s="49" t="s">
        <v>53</v>
      </c>
      <c r="K17" s="49" t="s">
        <v>54</v>
      </c>
      <c r="L17" s="49" t="s">
        <v>55</v>
      </c>
      <c r="M17" s="49" t="s">
        <v>56</v>
      </c>
      <c r="N17" s="49" t="s">
        <v>257</v>
      </c>
      <c r="O17" s="50" t="s">
        <v>43</v>
      </c>
      <c r="P17" s="50" t="s">
        <v>44</v>
      </c>
      <c r="Q17" s="50" t="s">
        <v>4</v>
      </c>
      <c r="R17" s="50" t="s">
        <v>45</v>
      </c>
      <c r="S17" s="51" t="s">
        <v>5</v>
      </c>
      <c r="T17" s="51" t="s">
        <v>218</v>
      </c>
      <c r="U17" s="51" t="s">
        <v>253</v>
      </c>
      <c r="V17" s="51" t="s">
        <v>98</v>
      </c>
      <c r="W17" s="51" t="s">
        <v>57</v>
      </c>
      <c r="X17" s="51" t="s">
        <v>485</v>
      </c>
      <c r="Y17" s="51" t="s">
        <v>220</v>
      </c>
      <c r="Z17" s="51" t="s">
        <v>254</v>
      </c>
      <c r="AA17" s="51" t="s">
        <v>99</v>
      </c>
      <c r="AB17" s="51" t="s">
        <v>233</v>
      </c>
      <c r="AC17" s="51" t="s">
        <v>91</v>
      </c>
      <c r="AD17" s="51" t="s">
        <v>96</v>
      </c>
    </row>
    <row r="18" spans="1:30" s="47" customFormat="1" ht="13.5" x14ac:dyDescent="0.25">
      <c r="A18" s="91" t="s">
        <v>352</v>
      </c>
      <c r="B18" s="91"/>
      <c r="C18" s="91" t="s">
        <v>49</v>
      </c>
      <c r="D18" s="91" t="s">
        <v>8</v>
      </c>
      <c r="E18" s="91" t="s">
        <v>353</v>
      </c>
      <c r="F18" s="91" t="s">
        <v>49</v>
      </c>
      <c r="G18" s="91" t="s">
        <v>354</v>
      </c>
      <c r="H18" s="91" t="s">
        <v>273</v>
      </c>
      <c r="I18" s="193" t="str">
        <f>CONCATENATE(Table_Query_from_MS_Access_Database_1[RTE],Table_Query_from_MS_Access_Database_1[SEC],Table_Query_from_MS_Access_Database_1[SEQ])</f>
        <v>MAGS019</v>
      </c>
      <c r="J18" s="167">
        <v>43374</v>
      </c>
      <c r="K18" s="167">
        <v>43374</v>
      </c>
      <c r="L18" s="159">
        <v>43374</v>
      </c>
      <c r="M18" s="159">
        <v>43374</v>
      </c>
      <c r="N18" s="159"/>
      <c r="O18" s="156"/>
      <c r="P18" s="156"/>
      <c r="Q18" s="156"/>
      <c r="R18" s="156"/>
      <c r="S18" s="156">
        <v>1250000</v>
      </c>
      <c r="T18" s="156"/>
      <c r="U18" s="156"/>
      <c r="V18" s="156"/>
      <c r="W18" s="156"/>
      <c r="X18" s="156"/>
      <c r="Y18" s="156"/>
      <c r="Z18" s="156"/>
      <c r="AA18" s="156"/>
      <c r="AB18" s="156"/>
      <c r="AC18" s="156">
        <f>SUM(Table_Query_from_MS_Access_Database_1[[#This Row],[HURF EX]:[TAP Flex]])</f>
        <v>1250000</v>
      </c>
      <c r="AD18" s="156">
        <f>AD14-Table_Query_from_MS_Access_Database_1[TOTAL OF AMOUNT]</f>
        <v>143638790.5</v>
      </c>
    </row>
    <row r="19" spans="1:30" s="47" customFormat="1" ht="28.9" customHeight="1" x14ac:dyDescent="0.25">
      <c r="A19" s="91" t="s">
        <v>547</v>
      </c>
      <c r="B19" s="91" t="s">
        <v>584</v>
      </c>
      <c r="C19" s="91" t="s">
        <v>49</v>
      </c>
      <c r="D19" s="91" t="s">
        <v>8</v>
      </c>
      <c r="E19" s="91" t="s">
        <v>548</v>
      </c>
      <c r="F19" s="91" t="s">
        <v>49</v>
      </c>
      <c r="G19" s="91" t="s">
        <v>549</v>
      </c>
      <c r="H19" s="91" t="s">
        <v>273</v>
      </c>
      <c r="I19" s="193" t="str">
        <f>CONCATENATE(Table_Query_from_MS_Access_Database_1[RTE],Table_Query_from_MS_Access_Database_1[SEC],Table_Query_from_MS_Access_Database_1[SEQ])</f>
        <v>MAGR019</v>
      </c>
      <c r="J19" s="167">
        <v>43374</v>
      </c>
      <c r="K19" s="167">
        <v>43374</v>
      </c>
      <c r="L19" s="159">
        <v>43374</v>
      </c>
      <c r="M19" s="159">
        <v>43374</v>
      </c>
      <c r="N19" s="159"/>
      <c r="O19" s="156"/>
      <c r="P19" s="156"/>
      <c r="Q19" s="156"/>
      <c r="R19" s="156"/>
      <c r="S19" s="156"/>
      <c r="T19" s="156"/>
      <c r="U19" s="156"/>
      <c r="V19" s="173"/>
      <c r="W19" s="156"/>
      <c r="X19" s="156"/>
      <c r="Y19" s="156"/>
      <c r="Z19" s="156">
        <v>190486</v>
      </c>
      <c r="AA19" s="156"/>
      <c r="AB19" s="156"/>
      <c r="AC19" s="156">
        <f>SUM(Table_Query_from_MS_Access_Database_1[[#This Row],[HURF EX]:[TAP Flex]])</f>
        <v>190486</v>
      </c>
      <c r="AD19" s="156">
        <f>AD18-Table_Query_from_MS_Access_Database_1[TOTAL OF AMOUNT]</f>
        <v>143448304.5</v>
      </c>
    </row>
    <row r="20" spans="1:30" s="47" customFormat="1" ht="27" x14ac:dyDescent="0.25">
      <c r="A20" s="91" t="s">
        <v>267</v>
      </c>
      <c r="B20" s="91" t="s">
        <v>270</v>
      </c>
      <c r="C20" s="91" t="s">
        <v>184</v>
      </c>
      <c r="D20" s="91" t="s">
        <v>22</v>
      </c>
      <c r="E20" s="91" t="s">
        <v>268</v>
      </c>
      <c r="F20" s="91" t="s">
        <v>185</v>
      </c>
      <c r="G20" s="91" t="s">
        <v>100</v>
      </c>
      <c r="H20" s="91" t="s">
        <v>190</v>
      </c>
      <c r="I20" s="193" t="str">
        <f>CONCATENATE(Table_Query_from_MS_Access_Database_1[RTE],Table_Query_from_MS_Access_Database_1[SEC],Table_Query_from_MS_Access_Database_1[SEQ])</f>
        <v>MMA0239</v>
      </c>
      <c r="J20" s="167">
        <v>43374</v>
      </c>
      <c r="K20" s="167">
        <v>43374</v>
      </c>
      <c r="L20" s="159">
        <v>43374</v>
      </c>
      <c r="M20" s="159">
        <v>43374</v>
      </c>
      <c r="N20" s="159"/>
      <c r="O20" s="156"/>
      <c r="P20" s="156"/>
      <c r="Q20" s="156"/>
      <c r="R20" s="156"/>
      <c r="S20" s="156"/>
      <c r="T20" s="156"/>
      <c r="U20" s="156"/>
      <c r="V20" s="156">
        <v>12613856</v>
      </c>
      <c r="W20" s="156"/>
      <c r="X20" s="156"/>
      <c r="Y20" s="156"/>
      <c r="Z20" s="156"/>
      <c r="AA20" s="156"/>
      <c r="AB20" s="156"/>
      <c r="AC20" s="156">
        <f>SUM(Table_Query_from_MS_Access_Database_1[[#This Row],[HURF EX]:[TAP Flex]])</f>
        <v>12613856</v>
      </c>
      <c r="AD20" s="156">
        <f>AD19-Table_Query_from_MS_Access_Database_1[TOTAL OF AMOUNT]</f>
        <v>130834448.5</v>
      </c>
    </row>
    <row r="21" spans="1:30" s="47" customFormat="1" ht="27" x14ac:dyDescent="0.25">
      <c r="A21" s="91" t="s">
        <v>359</v>
      </c>
      <c r="B21" s="91" t="s">
        <v>360</v>
      </c>
      <c r="C21" s="91" t="s">
        <v>186</v>
      </c>
      <c r="D21" s="91" t="s">
        <v>8</v>
      </c>
      <c r="E21" s="91" t="s">
        <v>361</v>
      </c>
      <c r="F21" s="91" t="s">
        <v>187</v>
      </c>
      <c r="G21" s="91" t="s">
        <v>100</v>
      </c>
      <c r="H21" s="91" t="s">
        <v>362</v>
      </c>
      <c r="I21" s="193" t="str">
        <f>CONCATENATE(Table_Query_from_MS_Access_Database_1[RTE],Table_Query_from_MS_Access_Database_1[SEC],Table_Query_from_MS_Access_Database_1[SEQ])</f>
        <v>PHX0336</v>
      </c>
      <c r="J21" s="167"/>
      <c r="K21" s="167">
        <v>43388</v>
      </c>
      <c r="L21" s="159">
        <v>43389</v>
      </c>
      <c r="M21" s="159">
        <v>43389</v>
      </c>
      <c r="N21" s="159"/>
      <c r="O21" s="156"/>
      <c r="P21" s="173"/>
      <c r="Q21" s="156"/>
      <c r="R21" s="156"/>
      <c r="S21" s="156"/>
      <c r="T21" s="156"/>
      <c r="U21" s="156"/>
      <c r="V21" s="156"/>
      <c r="W21" s="156"/>
      <c r="X21" s="156"/>
      <c r="Y21" s="156"/>
      <c r="Z21" s="156"/>
      <c r="AA21" s="156">
        <v>-20746</v>
      </c>
      <c r="AB21" s="156"/>
      <c r="AC21" s="156">
        <f>SUM(Table_Query_from_MS_Access_Database_1[[#This Row],[HURF EX]:[TAP Flex]])</f>
        <v>-20746</v>
      </c>
      <c r="AD21" s="156">
        <f>AD20-Table_Query_from_MS_Access_Database_1[TOTAL OF AMOUNT]</f>
        <v>130855194.5</v>
      </c>
    </row>
    <row r="22" spans="1:30" s="47" customFormat="1" ht="13.5" x14ac:dyDescent="0.25">
      <c r="A22" s="91" t="s">
        <v>355</v>
      </c>
      <c r="B22" s="91" t="s">
        <v>356</v>
      </c>
      <c r="C22" s="91" t="s">
        <v>186</v>
      </c>
      <c r="D22" s="91" t="s">
        <v>8</v>
      </c>
      <c r="E22" s="91" t="s">
        <v>357</v>
      </c>
      <c r="F22" s="91" t="s">
        <v>187</v>
      </c>
      <c r="G22" s="91" t="s">
        <v>100</v>
      </c>
      <c r="H22" s="91" t="s">
        <v>358</v>
      </c>
      <c r="I22" s="193" t="str">
        <f>CONCATENATE(Table_Query_from_MS_Access_Database_1[RTE],Table_Query_from_MS_Access_Database_1[SEC],Table_Query_from_MS_Access_Database_1[SEQ])</f>
        <v>PHX0339</v>
      </c>
      <c r="J22" s="167"/>
      <c r="K22" s="167">
        <v>43388</v>
      </c>
      <c r="L22" s="159">
        <v>43389</v>
      </c>
      <c r="M22" s="159">
        <v>43389</v>
      </c>
      <c r="N22" s="159"/>
      <c r="O22" s="156"/>
      <c r="P22" s="156"/>
      <c r="Q22" s="156"/>
      <c r="R22" s="156"/>
      <c r="S22" s="156"/>
      <c r="T22" s="156"/>
      <c r="U22" s="156"/>
      <c r="V22" s="156">
        <v>-20229</v>
      </c>
      <c r="W22" s="156"/>
      <c r="X22" s="156"/>
      <c r="Y22" s="156"/>
      <c r="Z22" s="156"/>
      <c r="AA22" s="156"/>
      <c r="AB22" s="156"/>
      <c r="AC22" s="156">
        <f>SUM(Table_Query_from_MS_Access_Database_1[[#This Row],[HURF EX]:[TAP Flex]])</f>
        <v>-20229</v>
      </c>
      <c r="AD22" s="156">
        <f>AD21-Table_Query_from_MS_Access_Database_1[TOTAL OF AMOUNT]</f>
        <v>130875423.5</v>
      </c>
    </row>
    <row r="23" spans="1:30" s="90" customFormat="1" ht="27" x14ac:dyDescent="0.25">
      <c r="A23" s="91" t="s">
        <v>363</v>
      </c>
      <c r="B23" s="91" t="s">
        <v>364</v>
      </c>
      <c r="C23" s="91" t="s">
        <v>162</v>
      </c>
      <c r="D23" s="91" t="s">
        <v>21</v>
      </c>
      <c r="E23" s="91" t="s">
        <v>365</v>
      </c>
      <c r="F23" s="91" t="s">
        <v>163</v>
      </c>
      <c r="G23" s="91" t="s">
        <v>100</v>
      </c>
      <c r="H23" s="91" t="s">
        <v>366</v>
      </c>
      <c r="I23" s="193" t="str">
        <f>CONCATENATE(Table_Query_from_MS_Access_Database_1[RTE],Table_Query_from_MS_Access_Database_1[SEC],Table_Query_from_MS_Access_Database_1[SEQ])</f>
        <v>GLN0252</v>
      </c>
      <c r="J23" s="167"/>
      <c r="K23" s="167">
        <v>43382</v>
      </c>
      <c r="L23" s="159">
        <v>43388</v>
      </c>
      <c r="M23" s="159">
        <v>43389</v>
      </c>
      <c r="N23" s="159"/>
      <c r="O23" s="156"/>
      <c r="P23" s="156"/>
      <c r="Q23" s="156">
        <v>-83341.429999999993</v>
      </c>
      <c r="R23" s="156"/>
      <c r="S23" s="156"/>
      <c r="T23" s="156"/>
      <c r="U23" s="156"/>
      <c r="V23" s="156"/>
      <c r="W23" s="156"/>
      <c r="X23" s="156"/>
      <c r="Y23" s="156"/>
      <c r="Z23" s="156"/>
      <c r="AA23" s="156"/>
      <c r="AB23" s="156"/>
      <c r="AC23" s="156">
        <f>SUM(Table_Query_from_MS_Access_Database_1[[#This Row],[HURF EX]:[TAP Flex]])</f>
        <v>-83341.429999999993</v>
      </c>
      <c r="AD23" s="156">
        <f>AD22-Table_Query_from_MS_Access_Database_1[TOTAL OF AMOUNT]</f>
        <v>130958764.93000001</v>
      </c>
    </row>
    <row r="24" spans="1:30" s="90" customFormat="1" ht="13.5" x14ac:dyDescent="0.25">
      <c r="A24" s="177" t="s">
        <v>303</v>
      </c>
      <c r="B24" s="177" t="s">
        <v>304</v>
      </c>
      <c r="C24" s="177" t="s">
        <v>162</v>
      </c>
      <c r="D24" s="177" t="s">
        <v>7</v>
      </c>
      <c r="E24" s="177" t="s">
        <v>305</v>
      </c>
      <c r="F24" s="177" t="s">
        <v>163</v>
      </c>
      <c r="G24" s="177" t="s">
        <v>100</v>
      </c>
      <c r="H24" s="177" t="s">
        <v>306</v>
      </c>
      <c r="I24" s="194" t="str">
        <f>CONCATENATE(Table_Query_from_MS_Access_Database_1[RTE],Table_Query_from_MS_Access_Database_1[SEC],Table_Query_from_MS_Access_Database_1[SEQ])</f>
        <v>GLN0256</v>
      </c>
      <c r="J24" s="178">
        <v>43374</v>
      </c>
      <c r="K24" s="178">
        <v>43382</v>
      </c>
      <c r="L24" s="179">
        <v>43383</v>
      </c>
      <c r="M24" s="179">
        <v>43395</v>
      </c>
      <c r="N24" s="179"/>
      <c r="O24" s="156">
        <v>223402</v>
      </c>
      <c r="P24" s="156"/>
      <c r="Q24" s="180"/>
      <c r="R24" s="180"/>
      <c r="S24" s="180"/>
      <c r="T24" s="180"/>
      <c r="U24" s="180"/>
      <c r="V24" s="180"/>
      <c r="W24" s="180"/>
      <c r="X24" s="180"/>
      <c r="Y24" s="180"/>
      <c r="Z24" s="180"/>
      <c r="AA24" s="180"/>
      <c r="AB24" s="180"/>
      <c r="AC24" s="156">
        <f>SUM(Table_Query_from_MS_Access_Database_1[[#This Row],[HURF EX]:[TAP Flex]])</f>
        <v>223402</v>
      </c>
      <c r="AD24" s="156">
        <f>AD23-Table_Query_from_MS_Access_Database_1[TOTAL OF AMOUNT]</f>
        <v>130735362.93000001</v>
      </c>
    </row>
    <row r="25" spans="1:30" s="90" customFormat="1" ht="67.5" x14ac:dyDescent="0.25">
      <c r="A25" s="177" t="s">
        <v>382</v>
      </c>
      <c r="B25" s="177" t="s">
        <v>383</v>
      </c>
      <c r="C25" s="177" t="s">
        <v>384</v>
      </c>
      <c r="D25" s="177" t="s">
        <v>21</v>
      </c>
      <c r="E25" s="177" t="s">
        <v>385</v>
      </c>
      <c r="F25" s="177" t="s">
        <v>386</v>
      </c>
      <c r="G25" s="177" t="s">
        <v>100</v>
      </c>
      <c r="H25" s="177" t="s">
        <v>387</v>
      </c>
      <c r="I25" s="194" t="str">
        <f>CONCATENATE(Table_Query_from_MS_Access_Database_1[RTE],Table_Query_from_MS_Access_Database_1[SEC],Table_Query_from_MS_Access_Database_1[SEQ])</f>
        <v>GDY0211</v>
      </c>
      <c r="J25" s="178"/>
      <c r="K25" s="178">
        <v>43385</v>
      </c>
      <c r="L25" s="179">
        <v>43390</v>
      </c>
      <c r="M25" s="179">
        <v>43395</v>
      </c>
      <c r="N25" s="179"/>
      <c r="O25" s="156">
        <v>-110749</v>
      </c>
      <c r="P25" s="156"/>
      <c r="Q25" s="180"/>
      <c r="R25" s="180"/>
      <c r="S25" s="180"/>
      <c r="T25" s="180"/>
      <c r="U25" s="180"/>
      <c r="V25" s="180"/>
      <c r="W25" s="180"/>
      <c r="X25" s="180"/>
      <c r="Y25" s="180"/>
      <c r="Z25" s="180"/>
      <c r="AA25" s="180"/>
      <c r="AB25" s="180"/>
      <c r="AC25" s="156">
        <f>SUM(Table_Query_from_MS_Access_Database_1[[#This Row],[HURF EX]:[TAP Flex]])</f>
        <v>-110749</v>
      </c>
      <c r="AD25" s="156">
        <f>AD24-Table_Query_from_MS_Access_Database_1[TOTAL OF AMOUNT]</f>
        <v>130846111.93000001</v>
      </c>
    </row>
    <row r="26" spans="1:30" s="47" customFormat="1" ht="13.5" x14ac:dyDescent="0.25">
      <c r="A26" s="91" t="s">
        <v>271</v>
      </c>
      <c r="B26" s="177"/>
      <c r="C26" s="177" t="s">
        <v>49</v>
      </c>
      <c r="D26" s="177" t="s">
        <v>22</v>
      </c>
      <c r="E26" s="177" t="s">
        <v>272</v>
      </c>
      <c r="F26" s="177" t="s">
        <v>49</v>
      </c>
      <c r="G26" s="177" t="s">
        <v>252</v>
      </c>
      <c r="H26" s="177" t="s">
        <v>273</v>
      </c>
      <c r="I26" s="194" t="str">
        <f>CONCATENATE(Table_Query_from_MS_Access_Database_1[RTE],Table_Query_from_MS_Access_Database_1[SEC],Table_Query_from_MS_Access_Database_1[SEQ])</f>
        <v>MAGP019</v>
      </c>
      <c r="J26" s="178">
        <v>43374</v>
      </c>
      <c r="K26" s="178">
        <v>43390</v>
      </c>
      <c r="L26" s="179">
        <v>43390</v>
      </c>
      <c r="M26" s="179">
        <v>43396</v>
      </c>
      <c r="N26" s="179"/>
      <c r="O26" s="156"/>
      <c r="P26" s="156"/>
      <c r="Q26" s="180"/>
      <c r="R26" s="180">
        <v>4216991</v>
      </c>
      <c r="S26" s="180"/>
      <c r="T26" s="180"/>
      <c r="U26" s="180"/>
      <c r="V26" s="180"/>
      <c r="W26" s="180"/>
      <c r="X26" s="180"/>
      <c r="Y26" s="180"/>
      <c r="Z26" s="180"/>
      <c r="AA26" s="180"/>
      <c r="AB26" s="180"/>
      <c r="AC26" s="156">
        <f>SUM(Table_Query_from_MS_Access_Database_1[[#This Row],[HURF EX]:[TAP Flex]])</f>
        <v>4216991</v>
      </c>
      <c r="AD26" s="156">
        <f>AD25-Table_Query_from_MS_Access_Database_1[TOTAL OF AMOUNT]</f>
        <v>126629120.93000001</v>
      </c>
    </row>
    <row r="27" spans="1:30" s="47" customFormat="1" ht="13.5" x14ac:dyDescent="0.25">
      <c r="A27" s="177" t="s">
        <v>367</v>
      </c>
      <c r="B27" s="177" t="s">
        <v>368</v>
      </c>
      <c r="C27" s="177" t="s">
        <v>182</v>
      </c>
      <c r="D27" s="177" t="s">
        <v>8</v>
      </c>
      <c r="E27" s="177" t="s">
        <v>369</v>
      </c>
      <c r="F27" s="177" t="s">
        <v>183</v>
      </c>
      <c r="G27" s="177" t="s">
        <v>100</v>
      </c>
      <c r="H27" s="177" t="s">
        <v>370</v>
      </c>
      <c r="I27" s="194" t="str">
        <f>CONCATENATE(Table_Query_from_MS_Access_Database_1[RTE],Table_Query_from_MS_Access_Database_1[SEC],Table_Query_from_MS_Access_Database_1[SEQ])</f>
        <v>MES0228</v>
      </c>
      <c r="J27" s="178"/>
      <c r="K27" s="178">
        <v>43395</v>
      </c>
      <c r="L27" s="179">
        <v>43396</v>
      </c>
      <c r="M27" s="179">
        <v>43399</v>
      </c>
      <c r="N27" s="179"/>
      <c r="O27" s="156">
        <v>-6698.41</v>
      </c>
      <c r="P27" s="156"/>
      <c r="Q27" s="180"/>
      <c r="R27" s="180"/>
      <c r="S27" s="180"/>
      <c r="T27" s="180"/>
      <c r="U27" s="180"/>
      <c r="V27" s="180"/>
      <c r="W27" s="173"/>
      <c r="X27" s="180"/>
      <c r="Y27" s="180"/>
      <c r="Z27" s="180"/>
      <c r="AA27" s="180"/>
      <c r="AB27" s="180"/>
      <c r="AC27" s="156">
        <f>SUM(Table_Query_from_MS_Access_Database_1[[#This Row],[HURF EX]:[TAP Flex]])</f>
        <v>-6698.41</v>
      </c>
      <c r="AD27" s="156">
        <f>AD26-Table_Query_from_MS_Access_Database_1[TOTAL OF AMOUNT]</f>
        <v>126635819.34</v>
      </c>
    </row>
    <row r="28" spans="1:30" s="47" customFormat="1" ht="27" x14ac:dyDescent="0.25">
      <c r="A28" s="91" t="s">
        <v>278</v>
      </c>
      <c r="B28" s="91" t="s">
        <v>279</v>
      </c>
      <c r="C28" s="91" t="s">
        <v>226</v>
      </c>
      <c r="D28" s="91" t="s">
        <v>7</v>
      </c>
      <c r="E28" s="91" t="s">
        <v>280</v>
      </c>
      <c r="F28" s="91" t="s">
        <v>227</v>
      </c>
      <c r="G28" s="91" t="s">
        <v>198</v>
      </c>
      <c r="H28" s="91" t="s">
        <v>228</v>
      </c>
      <c r="I28" s="193" t="str">
        <f>CONCATENATE(Table_Query_from_MS_Access_Database_1[RTE],Table_Query_from_MS_Access_Database_1[SEC],Table_Query_from_MS_Access_Database_1[SEQ])</f>
        <v>303A225</v>
      </c>
      <c r="J28" s="167">
        <v>43374</v>
      </c>
      <c r="K28" s="167">
        <v>43388</v>
      </c>
      <c r="L28" s="159">
        <v>43389</v>
      </c>
      <c r="M28" s="159">
        <v>43402</v>
      </c>
      <c r="N28" s="159"/>
      <c r="O28" s="156">
        <v>4339686</v>
      </c>
      <c r="P28" s="156"/>
      <c r="Q28" s="156"/>
      <c r="R28" s="156"/>
      <c r="S28" s="156"/>
      <c r="T28" s="156"/>
      <c r="U28" s="156"/>
      <c r="V28" s="173"/>
      <c r="W28" s="156"/>
      <c r="X28" s="156"/>
      <c r="Y28" s="156"/>
      <c r="Z28" s="156"/>
      <c r="AA28" s="156"/>
      <c r="AB28" s="156"/>
      <c r="AC28" s="156">
        <f>SUM(Table_Query_from_MS_Access_Database_1[[#This Row],[HURF EX]:[TAP Flex]])</f>
        <v>4339686</v>
      </c>
      <c r="AD28" s="156">
        <f>AD27-Table_Query_from_MS_Access_Database_1[TOTAL OF AMOUNT]</f>
        <v>122296133.34</v>
      </c>
    </row>
    <row r="29" spans="1:30" s="47" customFormat="1" ht="27" x14ac:dyDescent="0.25">
      <c r="A29" s="184" t="s">
        <v>274</v>
      </c>
      <c r="B29" s="184" t="s">
        <v>275</v>
      </c>
      <c r="C29" s="184" t="s">
        <v>226</v>
      </c>
      <c r="D29" s="184" t="s">
        <v>7</v>
      </c>
      <c r="E29" s="184" t="s">
        <v>276</v>
      </c>
      <c r="F29" s="184" t="s">
        <v>227</v>
      </c>
      <c r="G29" s="184" t="s">
        <v>198</v>
      </c>
      <c r="H29" s="184" t="s">
        <v>277</v>
      </c>
      <c r="I29" s="195" t="str">
        <f>CONCATENATE(Table_Query_from_MS_Access_Database_1[RTE],Table_Query_from_MS_Access_Database_1[SEC],Table_Query_from_MS_Access_Database_1[SEQ])</f>
        <v>303A226</v>
      </c>
      <c r="J29" s="185">
        <v>43374</v>
      </c>
      <c r="K29" s="185">
        <v>43388</v>
      </c>
      <c r="L29" s="182">
        <v>43388</v>
      </c>
      <c r="M29" s="182">
        <v>43402</v>
      </c>
      <c r="N29" s="182"/>
      <c r="O29" s="156">
        <v>4339686</v>
      </c>
      <c r="P29" s="156"/>
      <c r="Q29" s="183"/>
      <c r="R29" s="183"/>
      <c r="S29" s="183"/>
      <c r="T29" s="183"/>
      <c r="U29" s="183"/>
      <c r="V29" s="183"/>
      <c r="W29" s="183"/>
      <c r="X29" s="183"/>
      <c r="Y29" s="183"/>
      <c r="Z29" s="183"/>
      <c r="AA29" s="183"/>
      <c r="AB29" s="183"/>
      <c r="AC29" s="156">
        <f>SUM(Table_Query_from_MS_Access_Database_1[[#This Row],[HURF EX]:[TAP Flex]])</f>
        <v>4339686</v>
      </c>
      <c r="AD29" s="156">
        <f>AD28-Table_Query_from_MS_Access_Database_1[TOTAL OF AMOUNT]</f>
        <v>117956447.34</v>
      </c>
    </row>
    <row r="30" spans="1:30" s="47" customFormat="1" ht="27" x14ac:dyDescent="0.25">
      <c r="A30" s="184" t="s">
        <v>371</v>
      </c>
      <c r="B30" s="184" t="s">
        <v>372</v>
      </c>
      <c r="C30" s="184" t="s">
        <v>184</v>
      </c>
      <c r="D30" s="184" t="s">
        <v>8</v>
      </c>
      <c r="E30" s="184" t="s">
        <v>373</v>
      </c>
      <c r="F30" s="184" t="s">
        <v>185</v>
      </c>
      <c r="G30" s="184" t="s">
        <v>100</v>
      </c>
      <c r="H30" s="184" t="s">
        <v>191</v>
      </c>
      <c r="I30" s="195" t="str">
        <f>CONCATENATE(Table_Query_from_MS_Access_Database_1[RTE],Table_Query_from_MS_Access_Database_1[SEC],Table_Query_from_MS_Access_Database_1[SEQ])</f>
        <v>MMA0217</v>
      </c>
      <c r="J30" s="185"/>
      <c r="K30" s="185">
        <v>43403</v>
      </c>
      <c r="L30" s="182">
        <v>43404</v>
      </c>
      <c r="M30" s="182">
        <v>43405</v>
      </c>
      <c r="N30" s="182"/>
      <c r="O30" s="156"/>
      <c r="P30" s="156"/>
      <c r="Q30" s="183"/>
      <c r="R30" s="183"/>
      <c r="S30" s="183"/>
      <c r="T30" s="183"/>
      <c r="U30" s="183"/>
      <c r="V30" s="183">
        <v>-250000</v>
      </c>
      <c r="W30" s="183"/>
      <c r="X30" s="183"/>
      <c r="Y30" s="183"/>
      <c r="Z30" s="183"/>
      <c r="AA30" s="183"/>
      <c r="AB30" s="183"/>
      <c r="AC30" s="156">
        <f>SUM(Table_Query_from_MS_Access_Database_1[[#This Row],[HURF EX]:[TAP Flex]])</f>
        <v>-250000</v>
      </c>
      <c r="AD30" s="156">
        <f>AD29-Table_Query_from_MS_Access_Database_1[TOTAL OF AMOUNT]</f>
        <v>118206447.34</v>
      </c>
    </row>
    <row r="31" spans="1:30" s="47" customFormat="1" ht="13.5" x14ac:dyDescent="0.25">
      <c r="A31" s="184" t="s">
        <v>341</v>
      </c>
      <c r="B31" s="184" t="s">
        <v>342</v>
      </c>
      <c r="C31" s="184" t="s">
        <v>343</v>
      </c>
      <c r="D31" s="184" t="s">
        <v>8</v>
      </c>
      <c r="E31" s="184" t="s">
        <v>344</v>
      </c>
      <c r="F31" s="184" t="s">
        <v>345</v>
      </c>
      <c r="G31" s="184" t="s">
        <v>100</v>
      </c>
      <c r="H31" s="184" t="s">
        <v>346</v>
      </c>
      <c r="I31" s="195" t="str">
        <f>CONCATENATE(Table_Query_from_MS_Access_Database_1[RTE],Table_Query_from_MS_Access_Database_1[SEC],Table_Query_from_MS_Access_Database_1[SEQ])</f>
        <v>BKY0213</v>
      </c>
      <c r="J31" s="185"/>
      <c r="K31" s="185">
        <v>43405</v>
      </c>
      <c r="L31" s="182">
        <v>43409</v>
      </c>
      <c r="M31" s="182">
        <v>43410</v>
      </c>
      <c r="N31" s="182"/>
      <c r="O31" s="156">
        <v>18860</v>
      </c>
      <c r="P31" s="156"/>
      <c r="Q31" s="183"/>
      <c r="R31" s="183"/>
      <c r="S31" s="183"/>
      <c r="T31" s="183"/>
      <c r="U31" s="183"/>
      <c r="V31" s="183"/>
      <c r="W31" s="183"/>
      <c r="X31" s="183"/>
      <c r="Y31" s="183"/>
      <c r="Z31" s="183"/>
      <c r="AA31" s="183"/>
      <c r="AB31" s="183"/>
      <c r="AC31" s="156">
        <f>SUM(Table_Query_from_MS_Access_Database_1[[#This Row],[HURF EX]:[TAP Flex]])</f>
        <v>18860</v>
      </c>
      <c r="AD31" s="156">
        <f>AD30-Table_Query_from_MS_Access_Database_1[TOTAL OF AMOUNT]</f>
        <v>118187587.34</v>
      </c>
    </row>
    <row r="32" spans="1:30" s="47" customFormat="1" ht="27" x14ac:dyDescent="0.25">
      <c r="A32" s="184" t="s">
        <v>347</v>
      </c>
      <c r="B32" s="184" t="s">
        <v>348</v>
      </c>
      <c r="C32" s="184" t="s">
        <v>343</v>
      </c>
      <c r="D32" s="184" t="s">
        <v>23</v>
      </c>
      <c r="E32" s="184" t="s">
        <v>349</v>
      </c>
      <c r="F32" s="184" t="s">
        <v>345</v>
      </c>
      <c r="G32" s="184" t="s">
        <v>100</v>
      </c>
      <c r="H32" s="184" t="s">
        <v>346</v>
      </c>
      <c r="I32" s="195" t="str">
        <f>CONCATENATE(Table_Query_from_MS_Access_Database_1[RTE],Table_Query_from_MS_Access_Database_1[SEC],Table_Query_from_MS_Access_Database_1[SEQ])</f>
        <v>BKY0213</v>
      </c>
      <c r="J32" s="185"/>
      <c r="K32" s="185">
        <v>43405</v>
      </c>
      <c r="L32" s="182">
        <v>43409</v>
      </c>
      <c r="M32" s="182">
        <v>43410</v>
      </c>
      <c r="N32" s="182"/>
      <c r="O32" s="156">
        <v>-18860</v>
      </c>
      <c r="P32" s="156"/>
      <c r="Q32" s="183"/>
      <c r="R32" s="183"/>
      <c r="S32" s="183"/>
      <c r="T32" s="183"/>
      <c r="U32" s="183"/>
      <c r="V32" s="183"/>
      <c r="W32" s="183"/>
      <c r="X32" s="183"/>
      <c r="Y32" s="183"/>
      <c r="Z32" s="183"/>
      <c r="AA32" s="183"/>
      <c r="AB32" s="183"/>
      <c r="AC32" s="156">
        <f>SUM(Table_Query_from_MS_Access_Database_1[[#This Row],[HURF EX]:[TAP Flex]])</f>
        <v>-18860</v>
      </c>
      <c r="AD32" s="156">
        <f>AD31-Table_Query_from_MS_Access_Database_1[TOTAL OF AMOUNT]</f>
        <v>118206447.34</v>
      </c>
    </row>
    <row r="33" spans="1:30" s="47" customFormat="1" ht="27" x14ac:dyDescent="0.25">
      <c r="A33" s="184" t="s">
        <v>376</v>
      </c>
      <c r="B33" s="184" t="s">
        <v>465</v>
      </c>
      <c r="C33" s="184" t="s">
        <v>49</v>
      </c>
      <c r="D33" s="184" t="s">
        <v>23</v>
      </c>
      <c r="E33" s="184" t="s">
        <v>479</v>
      </c>
      <c r="F33" s="184" t="s">
        <v>49</v>
      </c>
      <c r="G33" s="184" t="s">
        <v>378</v>
      </c>
      <c r="H33" s="184" t="s">
        <v>273</v>
      </c>
      <c r="I33" s="195" t="str">
        <f>CONCATENATE(Table_Query_from_MS_Access_Database_1[RTE],Table_Query_from_MS_Access_Database_1[SEC],Table_Query_from_MS_Access_Database_1[SEQ])</f>
        <v>MAGQ019</v>
      </c>
      <c r="J33" s="185">
        <v>43405</v>
      </c>
      <c r="K33" s="185">
        <v>43411</v>
      </c>
      <c r="L33" s="182">
        <v>43412</v>
      </c>
      <c r="M33" s="182">
        <v>43423</v>
      </c>
      <c r="N33" s="182"/>
      <c r="O33" s="156">
        <v>1747347</v>
      </c>
      <c r="P33" s="156"/>
      <c r="Q33" s="183"/>
      <c r="R33" s="183"/>
      <c r="S33" s="183"/>
      <c r="T33" s="183"/>
      <c r="U33" s="183"/>
      <c r="V33" s="183"/>
      <c r="W33" s="183"/>
      <c r="X33" s="183"/>
      <c r="Y33" s="183"/>
      <c r="Z33" s="183"/>
      <c r="AA33" s="183"/>
      <c r="AB33" s="183"/>
      <c r="AC33" s="156">
        <f>SUM(Table_Query_from_MS_Access_Database_1[[#This Row],[HURF EX]:[TAP Flex]])</f>
        <v>1747347</v>
      </c>
      <c r="AD33" s="156">
        <f>AD32-Table_Query_from_MS_Access_Database_1[TOTAL OF AMOUNT]</f>
        <v>116459100.34</v>
      </c>
    </row>
    <row r="34" spans="1:30" s="47" customFormat="1" ht="13.5" x14ac:dyDescent="0.25">
      <c r="A34" s="184" t="s">
        <v>379</v>
      </c>
      <c r="B34" s="184"/>
      <c r="C34" s="184" t="s">
        <v>49</v>
      </c>
      <c r="D34" s="184" t="s">
        <v>23</v>
      </c>
      <c r="E34" s="184" t="s">
        <v>552</v>
      </c>
      <c r="F34" s="184" t="s">
        <v>49</v>
      </c>
      <c r="G34" s="184" t="s">
        <v>380</v>
      </c>
      <c r="H34" s="184" t="s">
        <v>273</v>
      </c>
      <c r="I34" s="195" t="str">
        <f>CONCATENATE(Table_Query_from_MS_Access_Database_1[RTE],Table_Query_from_MS_Access_Database_1[SEC],Table_Query_from_MS_Access_Database_1[SEQ])</f>
        <v>MAGT019</v>
      </c>
      <c r="J34" s="185">
        <v>43405</v>
      </c>
      <c r="K34" s="185">
        <v>43412</v>
      </c>
      <c r="L34" s="182">
        <v>43413</v>
      </c>
      <c r="M34" s="182">
        <v>43424</v>
      </c>
      <c r="N34" s="182"/>
      <c r="O34" s="156"/>
      <c r="P34" s="156"/>
      <c r="Q34" s="183"/>
      <c r="R34" s="183"/>
      <c r="S34" s="183"/>
      <c r="T34" s="183"/>
      <c r="U34" s="183"/>
      <c r="V34" s="183">
        <v>6363686</v>
      </c>
      <c r="W34" s="183"/>
      <c r="X34" s="183"/>
      <c r="Y34" s="183"/>
      <c r="Z34" s="183"/>
      <c r="AA34" s="183"/>
      <c r="AB34" s="183"/>
      <c r="AC34" s="156">
        <f>SUM(Table_Query_from_MS_Access_Database_1[[#This Row],[HURF EX]:[TAP Flex]])</f>
        <v>6363686</v>
      </c>
      <c r="AD34" s="156">
        <f>AD33-Table_Query_from_MS_Access_Database_1[TOTAL OF AMOUNT]</f>
        <v>110095414.34</v>
      </c>
    </row>
    <row r="35" spans="1:30" s="47" customFormat="1" ht="27" x14ac:dyDescent="0.25">
      <c r="A35" s="184" t="s">
        <v>388</v>
      </c>
      <c r="B35" s="184"/>
      <c r="C35" s="184" t="s">
        <v>201</v>
      </c>
      <c r="D35" s="184" t="s">
        <v>9</v>
      </c>
      <c r="E35" s="184" t="s">
        <v>389</v>
      </c>
      <c r="F35" s="184" t="s">
        <v>202</v>
      </c>
      <c r="G35" s="184" t="s">
        <v>100</v>
      </c>
      <c r="H35" s="184" t="s">
        <v>390</v>
      </c>
      <c r="I35" s="195" t="str">
        <f>CONCATENATE(Table_Query_from_MS_Access_Database_1[RTE],Table_Query_from_MS_Access_Database_1[SEC],Table_Query_from_MS_Access_Database_1[SEQ])</f>
        <v>SUR0210</v>
      </c>
      <c r="J35" s="185"/>
      <c r="K35" s="185">
        <v>43406</v>
      </c>
      <c r="L35" s="182">
        <v>43404</v>
      </c>
      <c r="M35" s="182">
        <v>43444</v>
      </c>
      <c r="N35" s="182"/>
      <c r="O35" s="156">
        <v>-0.75</v>
      </c>
      <c r="P35" s="156"/>
      <c r="Q35" s="183"/>
      <c r="R35" s="183"/>
      <c r="S35" s="183"/>
      <c r="T35" s="183"/>
      <c r="U35" s="183"/>
      <c r="V35" s="183"/>
      <c r="W35" s="183"/>
      <c r="X35" s="183"/>
      <c r="Y35" s="183"/>
      <c r="Z35" s="183"/>
      <c r="AA35" s="183"/>
      <c r="AB35" s="183"/>
      <c r="AC35" s="156">
        <f>SUM(Table_Query_from_MS_Access_Database_1[[#This Row],[HURF EX]:[TAP Flex]])</f>
        <v>-0.75</v>
      </c>
      <c r="AD35" s="156">
        <f>AD34-Table_Query_from_MS_Access_Database_1[TOTAL OF AMOUNT]</f>
        <v>110095415.09</v>
      </c>
    </row>
    <row r="36" spans="1:30" s="47" customFormat="1" ht="27" x14ac:dyDescent="0.25">
      <c r="A36" s="184" t="s">
        <v>450</v>
      </c>
      <c r="B36" s="184" t="s">
        <v>451</v>
      </c>
      <c r="C36" s="184" t="s">
        <v>184</v>
      </c>
      <c r="D36" s="184" t="s">
        <v>8</v>
      </c>
      <c r="E36" s="184" t="s">
        <v>452</v>
      </c>
      <c r="F36" s="184" t="s">
        <v>185</v>
      </c>
      <c r="G36" s="184" t="s">
        <v>100</v>
      </c>
      <c r="H36" s="184" t="s">
        <v>453</v>
      </c>
      <c r="I36" s="195" t="str">
        <f>CONCATENATE(Table_Query_from_MS_Access_Database_1[RTE],Table_Query_from_MS_Access_Database_1[SEC],Table_Query_from_MS_Access_Database_1[SEQ])</f>
        <v>MMA0248</v>
      </c>
      <c r="J36" s="185"/>
      <c r="K36" s="185">
        <v>43444</v>
      </c>
      <c r="L36" s="182">
        <v>43444</v>
      </c>
      <c r="M36" s="182">
        <v>43446</v>
      </c>
      <c r="N36" s="182"/>
      <c r="O36" s="156"/>
      <c r="P36" s="156"/>
      <c r="Q36" s="183"/>
      <c r="R36" s="183"/>
      <c r="S36" s="183"/>
      <c r="T36" s="183"/>
      <c r="U36" s="183"/>
      <c r="V36" s="183">
        <v>-2178960</v>
      </c>
      <c r="W36" s="183"/>
      <c r="X36" s="183"/>
      <c r="Y36" s="183"/>
      <c r="Z36" s="183"/>
      <c r="AA36" s="183"/>
      <c r="AB36" s="183"/>
      <c r="AC36" s="156">
        <f>SUM(Table_Query_from_MS_Access_Database_1[[#This Row],[HURF EX]:[TAP Flex]])</f>
        <v>-2178960</v>
      </c>
      <c r="AD36" s="156">
        <f>AD35-Table_Query_from_MS_Access_Database_1[TOTAL OF AMOUNT]</f>
        <v>112274375.09</v>
      </c>
    </row>
    <row r="37" spans="1:30" s="47" customFormat="1" ht="27" x14ac:dyDescent="0.25">
      <c r="A37" s="184" t="s">
        <v>430</v>
      </c>
      <c r="B37" s="184" t="s">
        <v>431</v>
      </c>
      <c r="C37" s="184" t="s">
        <v>180</v>
      </c>
      <c r="D37" s="184" t="s">
        <v>23</v>
      </c>
      <c r="E37" s="184" t="s">
        <v>432</v>
      </c>
      <c r="F37" s="184" t="s">
        <v>181</v>
      </c>
      <c r="G37" s="184" t="s">
        <v>100</v>
      </c>
      <c r="H37" s="184" t="s">
        <v>433</v>
      </c>
      <c r="I37" s="195" t="str">
        <f>CONCATENATE(Table_Query_from_MS_Access_Database_1[RTE],Table_Query_from_MS_Access_Database_1[SEC],Table_Query_from_MS_Access_Database_1[SEQ])</f>
        <v>MAR0206</v>
      </c>
      <c r="J37" s="185"/>
      <c r="K37" s="185">
        <v>43431</v>
      </c>
      <c r="L37" s="182">
        <v>43439</v>
      </c>
      <c r="M37" s="182">
        <v>43446</v>
      </c>
      <c r="N37" s="182"/>
      <c r="O37" s="156"/>
      <c r="P37" s="156"/>
      <c r="Q37" s="183"/>
      <c r="R37" s="183"/>
      <c r="S37" s="183"/>
      <c r="T37" s="183"/>
      <c r="U37" s="183">
        <v>-56580</v>
      </c>
      <c r="V37" s="183"/>
      <c r="W37" s="183"/>
      <c r="X37" s="183"/>
      <c r="Y37" s="183"/>
      <c r="Z37" s="183"/>
      <c r="AA37" s="183"/>
      <c r="AB37" s="183"/>
      <c r="AC37" s="156">
        <f>SUM(Table_Query_from_MS_Access_Database_1[[#This Row],[HURF EX]:[TAP Flex]])</f>
        <v>-56580</v>
      </c>
      <c r="AD37" s="156">
        <f>AD36-Table_Query_from_MS_Access_Database_1[TOTAL OF AMOUNT]</f>
        <v>112330955.09</v>
      </c>
    </row>
    <row r="38" spans="1:30" s="47" customFormat="1" ht="13.5" x14ac:dyDescent="0.25">
      <c r="A38" s="184" t="s">
        <v>454</v>
      </c>
      <c r="B38" s="184" t="s">
        <v>455</v>
      </c>
      <c r="C38" s="184" t="s">
        <v>180</v>
      </c>
      <c r="D38" s="184" t="s">
        <v>23</v>
      </c>
      <c r="E38" s="184" t="s">
        <v>432</v>
      </c>
      <c r="F38" s="184" t="s">
        <v>181</v>
      </c>
      <c r="G38" s="184" t="s">
        <v>100</v>
      </c>
      <c r="H38" s="184" t="s">
        <v>433</v>
      </c>
      <c r="I38" s="195" t="str">
        <f>CONCATENATE(Table_Query_from_MS_Access_Database_1[RTE],Table_Query_from_MS_Access_Database_1[SEC],Table_Query_from_MS_Access_Database_1[SEQ])</f>
        <v>MAR0206</v>
      </c>
      <c r="J38" s="185"/>
      <c r="K38" s="185">
        <v>43431</v>
      </c>
      <c r="L38" s="185">
        <v>43439</v>
      </c>
      <c r="M38" s="185">
        <v>43446</v>
      </c>
      <c r="N38" s="192"/>
      <c r="O38" s="138"/>
      <c r="P38" s="181"/>
      <c r="Q38" s="181"/>
      <c r="R38" s="181"/>
      <c r="S38" s="181"/>
      <c r="T38" s="181"/>
      <c r="U38" s="181">
        <v>56580</v>
      </c>
      <c r="V38" s="181"/>
      <c r="W38" s="181"/>
      <c r="X38" s="181"/>
      <c r="Y38" s="181"/>
      <c r="Z38" s="181"/>
      <c r="AA38" s="181"/>
      <c r="AB38" s="181"/>
      <c r="AC38" s="156">
        <f>SUM(Table_Query_from_MS_Access_Database_1[[#This Row],[HURF EX]:[TAP Flex]])</f>
        <v>56580</v>
      </c>
      <c r="AD38" s="156">
        <f>AD37-Table_Query_from_MS_Access_Database_1[TOTAL OF AMOUNT]</f>
        <v>112274375.09</v>
      </c>
    </row>
    <row r="39" spans="1:30" s="47" customFormat="1" ht="27" x14ac:dyDescent="0.25">
      <c r="A39" s="184" t="s">
        <v>456</v>
      </c>
      <c r="B39" s="184" t="s">
        <v>457</v>
      </c>
      <c r="C39" s="184" t="s">
        <v>184</v>
      </c>
      <c r="D39" s="184" t="s">
        <v>9</v>
      </c>
      <c r="E39" s="184" t="s">
        <v>458</v>
      </c>
      <c r="F39" s="184" t="s">
        <v>185</v>
      </c>
      <c r="G39" s="184" t="s">
        <v>100</v>
      </c>
      <c r="H39" s="184" t="s">
        <v>231</v>
      </c>
      <c r="I39" s="195" t="str">
        <f>CONCATENATE(Table_Query_from_MS_Access_Database_1[RTE],Table_Query_from_MS_Access_Database_1[SEC],Table_Query_from_MS_Access_Database_1[SEQ])</f>
        <v>MMA0242</v>
      </c>
      <c r="J39" s="185"/>
      <c r="K39" s="185">
        <v>43445</v>
      </c>
      <c r="L39" s="185">
        <v>43445</v>
      </c>
      <c r="M39" s="185">
        <v>43475</v>
      </c>
      <c r="N39" s="192"/>
      <c r="O39" s="138">
        <v>-1885.85</v>
      </c>
      <c r="P39" s="181"/>
      <c r="Q39" s="181"/>
      <c r="R39" s="181"/>
      <c r="S39" s="181"/>
      <c r="T39" s="181"/>
      <c r="U39" s="181"/>
      <c r="V39" s="181"/>
      <c r="W39" s="181"/>
      <c r="X39" s="181"/>
      <c r="Y39" s="181"/>
      <c r="Z39" s="181"/>
      <c r="AA39" s="181"/>
      <c r="AB39" s="181"/>
      <c r="AC39" s="156">
        <f>SUM(Table_Query_from_MS_Access_Database_1[[#This Row],[HURF EX]:[TAP Flex]])</f>
        <v>-1885.85</v>
      </c>
      <c r="AD39" s="156">
        <f>AD38-Table_Query_from_MS_Access_Database_1[TOTAL OF AMOUNT]</f>
        <v>112276260.94</v>
      </c>
    </row>
    <row r="40" spans="1:30" s="47" customFormat="1" ht="13.5" x14ac:dyDescent="0.25">
      <c r="A40" s="184" t="s">
        <v>341</v>
      </c>
      <c r="B40" s="184" t="s">
        <v>342</v>
      </c>
      <c r="C40" s="184" t="s">
        <v>343</v>
      </c>
      <c r="D40" s="184" t="s">
        <v>21</v>
      </c>
      <c r="E40" s="184" t="s">
        <v>344</v>
      </c>
      <c r="F40" s="184" t="s">
        <v>345</v>
      </c>
      <c r="G40" s="184" t="s">
        <v>100</v>
      </c>
      <c r="H40" s="184" t="s">
        <v>346</v>
      </c>
      <c r="I40" s="195" t="str">
        <f>CONCATENATE(Table_Query_from_MS_Access_Database_1[RTE],Table_Query_from_MS_Access_Database_1[SEC],Table_Query_from_MS_Access_Database_1[SEQ])</f>
        <v>BKY0213</v>
      </c>
      <c r="J40" s="185">
        <v>43448</v>
      </c>
      <c r="K40" s="185">
        <v>43448</v>
      </c>
      <c r="L40" s="185">
        <v>43454</v>
      </c>
      <c r="M40" s="185">
        <v>43479</v>
      </c>
      <c r="N40" s="192"/>
      <c r="O40" s="138">
        <v>529.6</v>
      </c>
      <c r="P40" s="181"/>
      <c r="Q40" s="181"/>
      <c r="R40" s="181"/>
      <c r="S40" s="181"/>
      <c r="T40" s="181"/>
      <c r="U40" s="181"/>
      <c r="V40" s="181"/>
      <c r="W40" s="181"/>
      <c r="X40" s="181"/>
      <c r="Y40" s="181"/>
      <c r="Z40" s="181"/>
      <c r="AA40" s="181"/>
      <c r="AB40" s="181"/>
      <c r="AC40" s="156">
        <f>SUM(Table_Query_from_MS_Access_Database_1[[#This Row],[HURF EX]:[TAP Flex]])</f>
        <v>529.6</v>
      </c>
      <c r="AD40" s="156">
        <f>AD39-Table_Query_from_MS_Access_Database_1[TOTAL OF AMOUNT]</f>
        <v>112275731.34</v>
      </c>
    </row>
    <row r="41" spans="1:30" s="47" customFormat="1" ht="13.5" x14ac:dyDescent="0.25">
      <c r="A41" s="184" t="s">
        <v>477</v>
      </c>
      <c r="B41" s="184" t="s">
        <v>473</v>
      </c>
      <c r="C41" s="184" t="s">
        <v>101</v>
      </c>
      <c r="D41" s="184" t="s">
        <v>9</v>
      </c>
      <c r="E41" s="184" t="s">
        <v>478</v>
      </c>
      <c r="F41" s="184" t="s">
        <v>475</v>
      </c>
      <c r="G41" s="184" t="s">
        <v>476</v>
      </c>
      <c r="H41" s="184" t="s">
        <v>420</v>
      </c>
      <c r="I41" s="195" t="str">
        <f>CONCATENATE(Table_Query_from_MS_Access_Database_1[RTE],Table_Query_from_MS_Access_Database_1[SEC],Table_Query_from_MS_Access_Database_1[SEQ])</f>
        <v>010B212</v>
      </c>
      <c r="J41" s="185"/>
      <c r="K41" s="185">
        <v>43479</v>
      </c>
      <c r="L41" s="185">
        <v>43479</v>
      </c>
      <c r="M41" s="185">
        <v>43503</v>
      </c>
      <c r="N41" s="192"/>
      <c r="O41" s="138">
        <v>-686234.35</v>
      </c>
      <c r="P41" s="181"/>
      <c r="Q41" s="181"/>
      <c r="R41" s="181"/>
      <c r="S41" s="181"/>
      <c r="T41" s="181"/>
      <c r="U41" s="181"/>
      <c r="V41" s="181"/>
      <c r="W41" s="181"/>
      <c r="X41" s="181"/>
      <c r="Y41" s="181"/>
      <c r="Z41" s="181"/>
      <c r="AA41" s="181"/>
      <c r="AB41" s="181"/>
      <c r="AC41" s="156">
        <f>SUM(Table_Query_from_MS_Access_Database_1[[#This Row],[HURF EX]:[TAP Flex]])</f>
        <v>-686234.35</v>
      </c>
      <c r="AD41" s="156">
        <f>AD40-Table_Query_from_MS_Access_Database_1[TOTAL OF AMOUNT]</f>
        <v>112961965.69</v>
      </c>
    </row>
    <row r="42" spans="1:30" s="47" customFormat="1" ht="13.5" x14ac:dyDescent="0.25">
      <c r="A42" s="184" t="s">
        <v>472</v>
      </c>
      <c r="B42" s="184" t="s">
        <v>473</v>
      </c>
      <c r="C42" s="184" t="s">
        <v>101</v>
      </c>
      <c r="D42" s="184" t="s">
        <v>9</v>
      </c>
      <c r="E42" s="184" t="s">
        <v>474</v>
      </c>
      <c r="F42" s="184" t="s">
        <v>475</v>
      </c>
      <c r="G42" s="184" t="s">
        <v>476</v>
      </c>
      <c r="H42" s="184" t="s">
        <v>420</v>
      </c>
      <c r="I42" s="195" t="str">
        <f>CONCATENATE(Table_Query_from_MS_Access_Database_1[RTE],Table_Query_from_MS_Access_Database_1[SEC],Table_Query_from_MS_Access_Database_1[SEQ])</f>
        <v>010B212</v>
      </c>
      <c r="J42" s="185"/>
      <c r="K42" s="185">
        <v>43479</v>
      </c>
      <c r="L42" s="185">
        <v>43479</v>
      </c>
      <c r="M42" s="185">
        <v>43503</v>
      </c>
      <c r="N42" s="192"/>
      <c r="O42" s="138">
        <v>-237345.14</v>
      </c>
      <c r="P42" s="181"/>
      <c r="Q42" s="181"/>
      <c r="R42" s="181"/>
      <c r="S42" s="181"/>
      <c r="T42" s="181"/>
      <c r="U42" s="181"/>
      <c r="V42" s="181"/>
      <c r="W42" s="181"/>
      <c r="X42" s="181"/>
      <c r="Y42" s="181"/>
      <c r="Z42" s="181"/>
      <c r="AA42" s="181"/>
      <c r="AB42" s="181"/>
      <c r="AC42" s="156">
        <f>SUM(Table_Query_from_MS_Access_Database_1[[#This Row],[HURF EX]:[TAP Flex]])</f>
        <v>-237345.14</v>
      </c>
      <c r="AD42" s="156">
        <f>AD41-Table_Query_from_MS_Access_Database_1[TOTAL OF AMOUNT]</f>
        <v>113199310.83</v>
      </c>
    </row>
    <row r="43" spans="1:30" s="47" customFormat="1" ht="27" x14ac:dyDescent="0.25">
      <c r="A43" s="184" t="s">
        <v>401</v>
      </c>
      <c r="B43" s="184" t="s">
        <v>402</v>
      </c>
      <c r="C43" s="184" t="s">
        <v>403</v>
      </c>
      <c r="D43" s="184" t="s">
        <v>21</v>
      </c>
      <c r="E43" s="184" t="s">
        <v>404</v>
      </c>
      <c r="F43" s="184" t="s">
        <v>405</v>
      </c>
      <c r="G43" s="184" t="s">
        <v>100</v>
      </c>
      <c r="H43" s="184" t="s">
        <v>230</v>
      </c>
      <c r="I43" s="195" t="str">
        <f>CONCATENATE(Table_Query_from_MS_Access_Database_1[RTE],Table_Query_from_MS_Access_Database_1[SEC],Table_Query_from_MS_Access_Database_1[SEQ])</f>
        <v>FTH0208</v>
      </c>
      <c r="J43" s="185">
        <v>43525</v>
      </c>
      <c r="K43" s="185">
        <v>43521</v>
      </c>
      <c r="L43" s="185">
        <v>43524</v>
      </c>
      <c r="M43" s="185">
        <v>43528</v>
      </c>
      <c r="N43" s="192"/>
      <c r="O43" s="138">
        <v>329012</v>
      </c>
      <c r="P43" s="181"/>
      <c r="Q43" s="181"/>
      <c r="R43" s="181"/>
      <c r="S43" s="181"/>
      <c r="T43" s="181"/>
      <c r="U43" s="181"/>
      <c r="V43" s="181"/>
      <c r="W43" s="181"/>
      <c r="X43" s="181"/>
      <c r="Y43" s="181"/>
      <c r="Z43" s="181"/>
      <c r="AA43" s="181"/>
      <c r="AB43" s="181"/>
      <c r="AC43" s="156">
        <f>SUM(Table_Query_from_MS_Access_Database_1[[#This Row],[HURF EX]:[TAP Flex]])</f>
        <v>329012</v>
      </c>
      <c r="AD43" s="156">
        <f>AD42-Table_Query_from_MS_Access_Database_1[TOTAL OF AMOUNT]</f>
        <v>112870298.83</v>
      </c>
    </row>
    <row r="44" spans="1:30" s="47" customFormat="1" ht="13.5" x14ac:dyDescent="0.25">
      <c r="A44" s="184" t="s">
        <v>340</v>
      </c>
      <c r="B44" s="184" t="s">
        <v>229</v>
      </c>
      <c r="C44" s="184" t="s">
        <v>188</v>
      </c>
      <c r="D44" s="184" t="s">
        <v>7</v>
      </c>
      <c r="E44" s="184" t="s">
        <v>269</v>
      </c>
      <c r="F44" s="184" t="s">
        <v>189</v>
      </c>
      <c r="G44" s="184" t="s">
        <v>100</v>
      </c>
      <c r="H44" s="184" t="s">
        <v>232</v>
      </c>
      <c r="I44" s="195" t="str">
        <f>CONCATENATE(Table_Query_from_MS_Access_Database_1[RTE],Table_Query_from_MS_Access_Database_1[SEC],Table_Query_from_MS_Access_Database_1[SEQ])</f>
        <v>SCT0232</v>
      </c>
      <c r="J44" s="185">
        <v>43556</v>
      </c>
      <c r="K44" s="185">
        <v>43482</v>
      </c>
      <c r="L44" s="185">
        <v>43518</v>
      </c>
      <c r="M44" s="185">
        <v>43536</v>
      </c>
      <c r="N44" s="192"/>
      <c r="O44" s="138"/>
      <c r="P44" s="181"/>
      <c r="Q44" s="181"/>
      <c r="R44" s="181"/>
      <c r="S44" s="181"/>
      <c r="T44" s="181"/>
      <c r="U44" s="181"/>
      <c r="V44" s="181"/>
      <c r="W44" s="181"/>
      <c r="X44" s="181"/>
      <c r="Y44" s="181"/>
      <c r="Z44" s="181"/>
      <c r="AA44" s="181">
        <v>47149</v>
      </c>
      <c r="AB44" s="181"/>
      <c r="AC44" s="156">
        <f>SUM(Table_Query_from_MS_Access_Database_1[[#This Row],[HURF EX]:[TAP Flex]])</f>
        <v>47149</v>
      </c>
      <c r="AD44" s="156">
        <f>AD43-Table_Query_from_MS_Access_Database_1[TOTAL OF AMOUNT]</f>
        <v>112823149.83</v>
      </c>
    </row>
    <row r="45" spans="1:30" s="47" customFormat="1" ht="27" x14ac:dyDescent="0.25">
      <c r="A45" s="91" t="s">
        <v>466</v>
      </c>
      <c r="B45" s="91" t="s">
        <v>467</v>
      </c>
      <c r="C45" s="91" t="s">
        <v>311</v>
      </c>
      <c r="D45" s="91" t="s">
        <v>9</v>
      </c>
      <c r="E45" s="91" t="s">
        <v>468</v>
      </c>
      <c r="F45" s="91" t="s">
        <v>313</v>
      </c>
      <c r="G45" s="91" t="s">
        <v>100</v>
      </c>
      <c r="H45" s="91" t="s">
        <v>469</v>
      </c>
      <c r="I45" s="193" t="str">
        <f>CONCATENATE(Table_Query_from_MS_Access_Database_1[RTE],Table_Query_from_MS_Access_Database_1[SEC],Table_Query_from_MS_Access_Database_1[SEQ])</f>
        <v>PVY0203</v>
      </c>
      <c r="J45" s="167"/>
      <c r="K45" s="167">
        <v>43508</v>
      </c>
      <c r="L45" s="159">
        <v>43508</v>
      </c>
      <c r="M45" s="159">
        <v>43539</v>
      </c>
      <c r="N45" s="159"/>
      <c r="O45" s="156"/>
      <c r="P45" s="173"/>
      <c r="Q45" s="156">
        <v>-108910.13</v>
      </c>
      <c r="R45" s="156"/>
      <c r="S45" s="156"/>
      <c r="T45" s="156"/>
      <c r="U45" s="156"/>
      <c r="V45" s="156"/>
      <c r="W45" s="156"/>
      <c r="X45" s="156"/>
      <c r="Y45" s="156"/>
      <c r="Z45" s="156"/>
      <c r="AA45" s="156"/>
      <c r="AB45" s="156"/>
      <c r="AC45" s="156">
        <f>SUM(Table_Query_from_MS_Access_Database_1[[#This Row],[HURF EX]:[TAP Flex]])</f>
        <v>-108910.13</v>
      </c>
      <c r="AD45" s="156">
        <f>AD44-Table_Query_from_MS_Access_Database_1[TOTAL OF AMOUNT]</f>
        <v>112932059.95999999</v>
      </c>
    </row>
    <row r="46" spans="1:30" s="47" customFormat="1" ht="27" x14ac:dyDescent="0.25">
      <c r="A46" s="91" t="s">
        <v>487</v>
      </c>
      <c r="B46" s="91" t="s">
        <v>467</v>
      </c>
      <c r="C46" s="91" t="s">
        <v>311</v>
      </c>
      <c r="D46" s="91" t="s">
        <v>9</v>
      </c>
      <c r="E46" s="91" t="s">
        <v>468</v>
      </c>
      <c r="F46" s="91" t="s">
        <v>313</v>
      </c>
      <c r="G46" s="91" t="s">
        <v>100</v>
      </c>
      <c r="H46" s="91" t="s">
        <v>469</v>
      </c>
      <c r="I46" s="193" t="str">
        <f>CONCATENATE(Table_Query_from_MS_Access_Database_1[RTE],Table_Query_from_MS_Access_Database_1[SEC],Table_Query_from_MS_Access_Database_1[SEQ])</f>
        <v>PVY0203</v>
      </c>
      <c r="J46" s="167"/>
      <c r="K46" s="167">
        <v>43508</v>
      </c>
      <c r="L46" s="159">
        <v>43508</v>
      </c>
      <c r="M46" s="159">
        <v>43539</v>
      </c>
      <c r="N46" s="159"/>
      <c r="O46" s="156"/>
      <c r="P46" s="173"/>
      <c r="Q46" s="156">
        <v>-13425.78</v>
      </c>
      <c r="R46" s="156"/>
      <c r="S46" s="156"/>
      <c r="T46" s="156"/>
      <c r="U46" s="156"/>
      <c r="V46" s="156"/>
      <c r="W46" s="156"/>
      <c r="X46" s="156"/>
      <c r="Y46" s="156"/>
      <c r="Z46" s="156"/>
      <c r="AA46" s="156"/>
      <c r="AB46" s="156"/>
      <c r="AC46" s="156">
        <f>SUM(Table_Query_from_MS_Access_Database_1[[#This Row],[HURF EX]:[TAP Flex]])</f>
        <v>-13425.78</v>
      </c>
      <c r="AD46" s="156">
        <f>AD45-Table_Query_from_MS_Access_Database_1[TOTAL OF AMOUNT]</f>
        <v>112945485.73999999</v>
      </c>
    </row>
    <row r="47" spans="1:30" s="47" customFormat="1" ht="27" x14ac:dyDescent="0.25">
      <c r="A47" s="184" t="s">
        <v>295</v>
      </c>
      <c r="B47" s="184" t="s">
        <v>296</v>
      </c>
      <c r="C47" s="184" t="s">
        <v>175</v>
      </c>
      <c r="D47" s="184" t="s">
        <v>7</v>
      </c>
      <c r="E47" s="184" t="s">
        <v>293</v>
      </c>
      <c r="F47" s="184" t="s">
        <v>176</v>
      </c>
      <c r="G47" s="184" t="s">
        <v>100</v>
      </c>
      <c r="H47" s="184" t="s">
        <v>294</v>
      </c>
      <c r="I47" s="195" t="str">
        <f>CONCATENATE(Table_Query_from_MS_Access_Database_1[RTE],Table_Query_from_MS_Access_Database_1[SEC],Table_Query_from_MS_Access_Database_1[SEQ])</f>
        <v>PPN0214</v>
      </c>
      <c r="J47" s="185">
        <v>43556</v>
      </c>
      <c r="K47" s="185">
        <v>43532</v>
      </c>
      <c r="L47" s="185">
        <v>43537</v>
      </c>
      <c r="M47" s="185">
        <v>43543</v>
      </c>
      <c r="N47" s="192"/>
      <c r="O47" s="138"/>
      <c r="P47" s="181"/>
      <c r="Q47" s="181"/>
      <c r="R47" s="181"/>
      <c r="S47" s="181"/>
      <c r="T47" s="181">
        <v>295841</v>
      </c>
      <c r="U47" s="181"/>
      <c r="V47" s="181"/>
      <c r="W47" s="181"/>
      <c r="X47" s="181"/>
      <c r="Y47" s="181"/>
      <c r="Z47" s="181"/>
      <c r="AA47" s="181"/>
      <c r="AB47" s="181"/>
      <c r="AC47" s="156">
        <f>SUM(Table_Query_from_MS_Access_Database_1[[#This Row],[HURF EX]:[TAP Flex]])</f>
        <v>295841</v>
      </c>
      <c r="AD47" s="156">
        <f>AD46-Table_Query_from_MS_Access_Database_1[TOTAL OF AMOUNT]</f>
        <v>112649644.73999999</v>
      </c>
    </row>
    <row r="48" spans="1:30" s="47" customFormat="1" ht="27" x14ac:dyDescent="0.25">
      <c r="A48" s="184" t="s">
        <v>318</v>
      </c>
      <c r="B48" s="184" t="s">
        <v>434</v>
      </c>
      <c r="C48" s="184" t="s">
        <v>184</v>
      </c>
      <c r="D48" s="184" t="s">
        <v>7</v>
      </c>
      <c r="E48" s="184" t="s">
        <v>319</v>
      </c>
      <c r="F48" s="184" t="s">
        <v>185</v>
      </c>
      <c r="G48" s="184" t="s">
        <v>100</v>
      </c>
      <c r="H48" s="184" t="s">
        <v>320</v>
      </c>
      <c r="I48" s="195" t="str">
        <f>CONCATENATE(Table_Query_from_MS_Access_Database_1[RTE],Table_Query_from_MS_Access_Database_1[SEC],Table_Query_from_MS_Access_Database_1[SEQ])</f>
        <v>MMA0270</v>
      </c>
      <c r="J48" s="185">
        <v>43556</v>
      </c>
      <c r="K48" s="185">
        <v>43529</v>
      </c>
      <c r="L48" s="185">
        <v>43530</v>
      </c>
      <c r="M48" s="185">
        <v>43544</v>
      </c>
      <c r="N48" s="192"/>
      <c r="O48" s="138">
        <v>2485019</v>
      </c>
      <c r="P48" s="181"/>
      <c r="Q48" s="181"/>
      <c r="R48" s="181"/>
      <c r="S48" s="181"/>
      <c r="T48" s="181"/>
      <c r="U48" s="181"/>
      <c r="V48" s="181"/>
      <c r="W48" s="181"/>
      <c r="X48" s="181"/>
      <c r="Y48" s="181"/>
      <c r="Z48" s="181"/>
      <c r="AA48" s="181"/>
      <c r="AB48" s="181"/>
      <c r="AC48" s="156">
        <f>SUM(Table_Query_from_MS_Access_Database_1[[#This Row],[HURF EX]:[TAP Flex]])</f>
        <v>2485019</v>
      </c>
      <c r="AD48" s="156">
        <f>AD47-Table_Query_from_MS_Access_Database_1[TOTAL OF AMOUNT]</f>
        <v>110164625.73999999</v>
      </c>
    </row>
    <row r="49" spans="1:30" s="47" customFormat="1" ht="27" x14ac:dyDescent="0.25">
      <c r="A49" s="184" t="s">
        <v>490</v>
      </c>
      <c r="B49" s="184" t="s">
        <v>491</v>
      </c>
      <c r="C49" s="184" t="s">
        <v>184</v>
      </c>
      <c r="D49" s="184" t="s">
        <v>9</v>
      </c>
      <c r="E49" s="184" t="s">
        <v>492</v>
      </c>
      <c r="F49" s="184" t="s">
        <v>185</v>
      </c>
      <c r="G49" s="184" t="s">
        <v>100</v>
      </c>
      <c r="H49" s="184" t="s">
        <v>449</v>
      </c>
      <c r="I49" s="195" t="str">
        <f>CONCATENATE(Table_Query_from_MS_Access_Database_1[RTE],Table_Query_from_MS_Access_Database_1[SEC],Table_Query_from_MS_Access_Database_1[SEQ])</f>
        <v>MMA0243</v>
      </c>
      <c r="J49" s="185"/>
      <c r="K49" s="185">
        <v>43537</v>
      </c>
      <c r="L49" s="185">
        <v>43537</v>
      </c>
      <c r="M49" s="185">
        <v>43545</v>
      </c>
      <c r="N49" s="192"/>
      <c r="O49" s="138">
        <v>-120691.86</v>
      </c>
      <c r="P49" s="181"/>
      <c r="Q49" s="181"/>
      <c r="R49" s="181"/>
      <c r="S49" s="181"/>
      <c r="T49" s="181"/>
      <c r="U49" s="181"/>
      <c r="V49" s="181"/>
      <c r="W49" s="181"/>
      <c r="X49" s="181"/>
      <c r="Y49" s="181"/>
      <c r="Z49" s="181"/>
      <c r="AA49" s="181"/>
      <c r="AB49" s="181"/>
      <c r="AC49" s="156">
        <f>SUM(Table_Query_from_MS_Access_Database_1[[#This Row],[HURF EX]:[TAP Flex]])</f>
        <v>-120691.86</v>
      </c>
      <c r="AD49" s="156">
        <f>AD48-Table_Query_from_MS_Access_Database_1[TOTAL OF AMOUNT]</f>
        <v>110285317.59999999</v>
      </c>
    </row>
    <row r="50" spans="1:30" s="47" customFormat="1" ht="27" x14ac:dyDescent="0.25">
      <c r="A50" s="184" t="s">
        <v>488</v>
      </c>
      <c r="B50" s="184"/>
      <c r="C50" s="184" t="s">
        <v>184</v>
      </c>
      <c r="D50" s="184" t="s">
        <v>9</v>
      </c>
      <c r="E50" s="184" t="s">
        <v>489</v>
      </c>
      <c r="F50" s="184" t="s">
        <v>185</v>
      </c>
      <c r="G50" s="184" t="s">
        <v>100</v>
      </c>
      <c r="H50" s="184" t="s">
        <v>449</v>
      </c>
      <c r="I50" s="195" t="str">
        <f>CONCATENATE(Table_Query_from_MS_Access_Database_1[RTE],Table_Query_from_MS_Access_Database_1[SEC],Table_Query_from_MS_Access_Database_1[SEQ])</f>
        <v>MMA0243</v>
      </c>
      <c r="J50" s="185"/>
      <c r="K50" s="185">
        <v>43537</v>
      </c>
      <c r="L50" s="185">
        <v>43537</v>
      </c>
      <c r="M50" s="185">
        <v>43545</v>
      </c>
      <c r="N50" s="192"/>
      <c r="O50" s="138">
        <v>-77089.350000000006</v>
      </c>
      <c r="P50" s="181"/>
      <c r="Q50" s="181"/>
      <c r="R50" s="181"/>
      <c r="S50" s="181"/>
      <c r="T50" s="181"/>
      <c r="U50" s="181"/>
      <c r="V50" s="181"/>
      <c r="W50" s="181"/>
      <c r="X50" s="181"/>
      <c r="Y50" s="181"/>
      <c r="Z50" s="181"/>
      <c r="AA50" s="181"/>
      <c r="AB50" s="181"/>
      <c r="AC50" s="156">
        <f>SUM(Table_Query_from_MS_Access_Database_1[[#This Row],[HURF EX]:[TAP Flex]])</f>
        <v>-77089.350000000006</v>
      </c>
      <c r="AD50" s="156">
        <f>AD49-Table_Query_from_MS_Access_Database_1[TOTAL OF AMOUNT]</f>
        <v>110362406.94999999</v>
      </c>
    </row>
    <row r="51" spans="1:30" s="47" customFormat="1" ht="27" x14ac:dyDescent="0.25">
      <c r="A51" s="184" t="s">
        <v>493</v>
      </c>
      <c r="B51" s="184" t="s">
        <v>494</v>
      </c>
      <c r="C51" s="184" t="s">
        <v>162</v>
      </c>
      <c r="D51" s="184" t="s">
        <v>9</v>
      </c>
      <c r="E51" s="184" t="s">
        <v>495</v>
      </c>
      <c r="F51" s="184" t="s">
        <v>163</v>
      </c>
      <c r="G51" s="184" t="s">
        <v>100</v>
      </c>
      <c r="H51" s="184" t="s">
        <v>496</v>
      </c>
      <c r="I51" s="195" t="str">
        <f>CONCATENATE(Table_Query_from_MS_Access_Database_1[RTE],Table_Query_from_MS_Access_Database_1[SEC],Table_Query_from_MS_Access_Database_1[SEQ])</f>
        <v>GLN0249</v>
      </c>
      <c r="J51" s="185"/>
      <c r="K51" s="185">
        <v>43537</v>
      </c>
      <c r="L51" s="185">
        <v>43537</v>
      </c>
      <c r="M51" s="185">
        <v>43545</v>
      </c>
      <c r="N51" s="192"/>
      <c r="O51" s="138">
        <v>-63923.5</v>
      </c>
      <c r="P51" s="181"/>
      <c r="Q51" s="181"/>
      <c r="R51" s="181"/>
      <c r="S51" s="181"/>
      <c r="T51" s="181"/>
      <c r="U51" s="181"/>
      <c r="V51" s="181"/>
      <c r="W51" s="181"/>
      <c r="X51" s="181"/>
      <c r="Y51" s="181"/>
      <c r="Z51" s="181"/>
      <c r="AA51" s="181"/>
      <c r="AB51" s="181"/>
      <c r="AC51" s="156">
        <f>SUM(Table_Query_from_MS_Access_Database_1[[#This Row],[HURF EX]:[TAP Flex]])</f>
        <v>-63923.5</v>
      </c>
      <c r="AD51" s="156">
        <f>AD50-Table_Query_from_MS_Access_Database_1[TOTAL OF AMOUNT]</f>
        <v>110426330.44999999</v>
      </c>
    </row>
    <row r="52" spans="1:30" s="47" customFormat="1" ht="27" x14ac:dyDescent="0.25">
      <c r="A52" s="91" t="s">
        <v>502</v>
      </c>
      <c r="B52" s="91"/>
      <c r="C52" s="91" t="s">
        <v>499</v>
      </c>
      <c r="D52" s="91" t="s">
        <v>9</v>
      </c>
      <c r="E52" s="91" t="s">
        <v>503</v>
      </c>
      <c r="F52" s="91" t="s">
        <v>501</v>
      </c>
      <c r="G52" s="91" t="s">
        <v>100</v>
      </c>
      <c r="H52" s="91" t="s">
        <v>469</v>
      </c>
      <c r="I52" s="193" t="str">
        <f>CONCATENATE(Table_Query_from_MS_Access_Database_1[RTE],Table_Query_from_MS_Access_Database_1[SEC],Table_Query_from_MS_Access_Database_1[SEQ])</f>
        <v>LPK0203</v>
      </c>
      <c r="J52" s="167"/>
      <c r="K52" s="167">
        <v>43537</v>
      </c>
      <c r="L52" s="159">
        <v>43537</v>
      </c>
      <c r="M52" s="159">
        <v>43546</v>
      </c>
      <c r="N52" s="159"/>
      <c r="O52" s="156"/>
      <c r="P52" s="173"/>
      <c r="Q52" s="156">
        <v>-31642.92</v>
      </c>
      <c r="R52" s="156"/>
      <c r="S52" s="156"/>
      <c r="T52" s="156"/>
      <c r="U52" s="156"/>
      <c r="V52" s="156"/>
      <c r="W52" s="156"/>
      <c r="X52" s="156"/>
      <c r="Y52" s="156"/>
      <c r="Z52" s="156"/>
      <c r="AB52" s="156"/>
      <c r="AC52" s="156">
        <f>SUM(Table_Query_from_MS_Access_Database_1[[#This Row],[HURF EX]:[TAP Flex]])</f>
        <v>-31642.92</v>
      </c>
      <c r="AD52" s="156">
        <f>AD51-Table_Query_from_MS_Access_Database_1[TOTAL OF AMOUNT]</f>
        <v>110457973.36999999</v>
      </c>
    </row>
    <row r="53" spans="1:30" s="47" customFormat="1" ht="27" x14ac:dyDescent="0.25">
      <c r="A53" s="91" t="s">
        <v>497</v>
      </c>
      <c r="B53" s="91" t="s">
        <v>498</v>
      </c>
      <c r="C53" s="91" t="s">
        <v>499</v>
      </c>
      <c r="D53" s="91" t="s">
        <v>9</v>
      </c>
      <c r="E53" s="91" t="s">
        <v>500</v>
      </c>
      <c r="F53" s="91" t="s">
        <v>501</v>
      </c>
      <c r="G53" s="91" t="s">
        <v>100</v>
      </c>
      <c r="H53" s="91" t="s">
        <v>469</v>
      </c>
      <c r="I53" s="193" t="str">
        <f>CONCATENATE(Table_Query_from_MS_Access_Database_1[RTE],Table_Query_from_MS_Access_Database_1[SEC],Table_Query_from_MS_Access_Database_1[SEQ])</f>
        <v>LPK0203</v>
      </c>
      <c r="J53" s="167"/>
      <c r="K53" s="167">
        <v>43537</v>
      </c>
      <c r="L53" s="159">
        <v>43537</v>
      </c>
      <c r="M53" s="159">
        <v>43546</v>
      </c>
      <c r="N53" s="159"/>
      <c r="O53" s="156"/>
      <c r="P53" s="173"/>
      <c r="Q53" s="156">
        <v>-27999.55</v>
      </c>
      <c r="R53" s="156"/>
      <c r="S53" s="156"/>
      <c r="T53" s="156"/>
      <c r="U53" s="156"/>
      <c r="V53" s="156"/>
      <c r="W53" s="156"/>
      <c r="X53" s="156"/>
      <c r="Y53" s="156"/>
      <c r="Z53" s="156"/>
      <c r="AA53" s="173"/>
      <c r="AB53" s="156"/>
      <c r="AC53" s="156">
        <f>SUM(Table_Query_from_MS_Access_Database_1[[#This Row],[HURF EX]:[TAP Flex]])</f>
        <v>-27999.55</v>
      </c>
      <c r="AD53" s="156">
        <f>AD52-Table_Query_from_MS_Access_Database_1[TOTAL OF AMOUNT]</f>
        <v>110485972.91999999</v>
      </c>
    </row>
    <row r="54" spans="1:30" s="47" customFormat="1" ht="13.5" x14ac:dyDescent="0.25">
      <c r="A54" s="184" t="s">
        <v>504</v>
      </c>
      <c r="B54" s="184" t="s">
        <v>505</v>
      </c>
      <c r="C54" s="184" t="s">
        <v>186</v>
      </c>
      <c r="D54" s="184" t="s">
        <v>8</v>
      </c>
      <c r="E54" s="184" t="s">
        <v>506</v>
      </c>
      <c r="F54" s="184" t="s">
        <v>187</v>
      </c>
      <c r="G54" s="184" t="s">
        <v>100</v>
      </c>
      <c r="H54" s="184" t="s">
        <v>507</v>
      </c>
      <c r="I54" s="195" t="str">
        <f>CONCATENATE(Table_Query_from_MS_Access_Database_1[RTE],Table_Query_from_MS_Access_Database_1[SEC],Table_Query_from_MS_Access_Database_1[SEQ])</f>
        <v>PHX0300</v>
      </c>
      <c r="J54" s="185">
        <v>43550</v>
      </c>
      <c r="K54" s="185">
        <v>43550</v>
      </c>
      <c r="L54" s="185">
        <v>43550</v>
      </c>
      <c r="M54" s="185">
        <v>43550</v>
      </c>
      <c r="N54" s="192"/>
      <c r="O54" s="138">
        <v>-600000</v>
      </c>
      <c r="P54" s="181"/>
      <c r="Q54" s="181"/>
      <c r="R54" s="181"/>
      <c r="S54" s="181"/>
      <c r="T54" s="181"/>
      <c r="U54" s="181"/>
      <c r="V54" s="181"/>
      <c r="W54" s="181"/>
      <c r="X54" s="181"/>
      <c r="Y54" s="181"/>
      <c r="Z54" s="181"/>
      <c r="AA54" s="181"/>
      <c r="AB54" s="181"/>
      <c r="AC54" s="156">
        <f>SUM(Table_Query_from_MS_Access_Database_1[[#This Row],[HURF EX]:[TAP Flex]])</f>
        <v>-600000</v>
      </c>
      <c r="AD54" s="156">
        <f>AD53-Table_Query_from_MS_Access_Database_1[TOTAL OF AMOUNT]</f>
        <v>111085972.91999999</v>
      </c>
    </row>
    <row r="55" spans="1:30" s="47" customFormat="1" ht="13.5" x14ac:dyDescent="0.25">
      <c r="A55" s="184" t="s">
        <v>297</v>
      </c>
      <c r="B55" s="184" t="s">
        <v>298</v>
      </c>
      <c r="C55" s="184" t="s">
        <v>175</v>
      </c>
      <c r="D55" s="184" t="s">
        <v>7</v>
      </c>
      <c r="E55" s="184" t="s">
        <v>299</v>
      </c>
      <c r="F55" s="184" t="s">
        <v>176</v>
      </c>
      <c r="G55" s="184" t="s">
        <v>100</v>
      </c>
      <c r="H55" s="184" t="s">
        <v>264</v>
      </c>
      <c r="I55" s="195" t="str">
        <f>CONCATENATE(Table_Query_from_MS_Access_Database_1[RTE],Table_Query_from_MS_Access_Database_1[SEC],Table_Query_from_MS_Access_Database_1[SEQ])</f>
        <v>PPN0216</v>
      </c>
      <c r="J55" s="185">
        <v>43524</v>
      </c>
      <c r="K55" s="185">
        <v>43544</v>
      </c>
      <c r="L55" s="185">
        <v>43549</v>
      </c>
      <c r="M55" s="185">
        <v>43556</v>
      </c>
      <c r="N55" s="192"/>
      <c r="O55" s="138"/>
      <c r="P55" s="181">
        <v>612140</v>
      </c>
      <c r="Q55" s="181"/>
      <c r="R55" s="181"/>
      <c r="S55" s="181"/>
      <c r="T55" s="181"/>
      <c r="U55" s="181"/>
      <c r="V55" s="181"/>
      <c r="W55" s="181"/>
      <c r="X55" s="181"/>
      <c r="Y55" s="181"/>
      <c r="Z55" s="181"/>
      <c r="AA55" s="181"/>
      <c r="AB55" s="181"/>
      <c r="AC55" s="156">
        <f>SUM(Table_Query_from_MS_Access_Database_1[[#This Row],[HURF EX]:[TAP Flex]])</f>
        <v>612140</v>
      </c>
      <c r="AD55" s="156">
        <f>AD54-Table_Query_from_MS_Access_Database_1[TOTAL OF AMOUNT]</f>
        <v>110473832.91999999</v>
      </c>
    </row>
    <row r="56" spans="1:30" s="47" customFormat="1" ht="13.5" x14ac:dyDescent="0.25">
      <c r="A56" s="184" t="s">
        <v>300</v>
      </c>
      <c r="B56" s="184" t="s">
        <v>301</v>
      </c>
      <c r="C56" s="184" t="s">
        <v>175</v>
      </c>
      <c r="D56" s="184" t="s">
        <v>7</v>
      </c>
      <c r="E56" s="184" t="s">
        <v>302</v>
      </c>
      <c r="F56" s="184" t="s">
        <v>176</v>
      </c>
      <c r="G56" s="184" t="s">
        <v>100</v>
      </c>
      <c r="H56" s="184" t="s">
        <v>191</v>
      </c>
      <c r="I56" s="221" t="str">
        <f>CONCATENATE(Table_Query_from_MS_Access_Database_1[RTE],Table_Query_from_MS_Access_Database_1[SEC],Table_Query_from_MS_Access_Database_1[SEQ])</f>
        <v>PPN0217</v>
      </c>
      <c r="J56" s="185">
        <v>43507</v>
      </c>
      <c r="K56" s="185">
        <v>43544</v>
      </c>
      <c r="L56" s="185">
        <v>43549</v>
      </c>
      <c r="M56" s="185">
        <v>43556</v>
      </c>
      <c r="N56" s="192"/>
      <c r="O56" s="138">
        <v>2143017</v>
      </c>
      <c r="P56" s="181"/>
      <c r="Q56" s="181"/>
      <c r="R56" s="181"/>
      <c r="S56" s="181"/>
      <c r="T56" s="181"/>
      <c r="U56" s="181"/>
      <c r="V56" s="181"/>
      <c r="W56" s="181"/>
      <c r="X56" s="181"/>
      <c r="Y56" s="181"/>
      <c r="Z56" s="181"/>
      <c r="AA56" s="181"/>
      <c r="AB56" s="181"/>
      <c r="AC56" s="183">
        <f>SUM(Table_Query_from_MS_Access_Database_1[[#This Row],[HURF EX]:[TAP Flex]])</f>
        <v>2143017</v>
      </c>
      <c r="AD56" s="156">
        <f>AD55-Table_Query_from_MS_Access_Database_1[TOTAL OF AMOUNT]</f>
        <v>108330815.91999999</v>
      </c>
    </row>
    <row r="57" spans="1:30" ht="27" x14ac:dyDescent="0.25">
      <c r="A57" s="91" t="s">
        <v>459</v>
      </c>
      <c r="B57" s="91" t="s">
        <v>482</v>
      </c>
      <c r="C57" s="91" t="s">
        <v>193</v>
      </c>
      <c r="D57" s="91" t="s">
        <v>8</v>
      </c>
      <c r="E57" s="91" t="s">
        <v>460</v>
      </c>
      <c r="F57" s="91" t="s">
        <v>194</v>
      </c>
      <c r="G57" s="91" t="s">
        <v>100</v>
      </c>
      <c r="H57" s="91" t="s">
        <v>453</v>
      </c>
      <c r="I57" s="222" t="str">
        <f>CONCATENATE(Table_Query_from_MS_Access_Database_1[RTE],Table_Query_from_MS_Access_Database_1[SEC],Table_Query_from_MS_Access_Database_1[SEQ])</f>
        <v>TMP0248</v>
      </c>
      <c r="J57" s="167">
        <v>43586</v>
      </c>
      <c r="K57" s="167">
        <v>43549</v>
      </c>
      <c r="L57" s="167">
        <v>43549</v>
      </c>
      <c r="M57" s="167">
        <v>43558</v>
      </c>
      <c r="N57" s="223"/>
      <c r="O57" s="138">
        <v>341047</v>
      </c>
      <c r="P57" s="138"/>
      <c r="Q57" s="138"/>
      <c r="R57" s="138"/>
      <c r="S57" s="138"/>
      <c r="T57" s="138"/>
      <c r="U57" s="138"/>
      <c r="V57" s="138"/>
      <c r="W57" s="138"/>
      <c r="X57" s="138"/>
      <c r="Y57" s="138"/>
      <c r="Z57" s="138"/>
      <c r="AA57" s="138"/>
      <c r="AB57" s="138"/>
      <c r="AC57" s="156">
        <f>SUM(Table_Query_from_MS_Access_Database_1[[#This Row],[HURF EX]:[TAP Flex]])</f>
        <v>341047</v>
      </c>
      <c r="AD57" s="156">
        <f>AD56-Table_Query_from_MS_Access_Database_1[TOTAL OF AMOUNT]</f>
        <v>107989768.91999999</v>
      </c>
    </row>
    <row r="58" spans="1:30" ht="27" x14ac:dyDescent="0.25">
      <c r="A58" s="224" t="s">
        <v>307</v>
      </c>
      <c r="B58" s="224" t="s">
        <v>481</v>
      </c>
      <c r="C58" s="224" t="s">
        <v>162</v>
      </c>
      <c r="D58" s="224" t="s">
        <v>7</v>
      </c>
      <c r="E58" s="224" t="s">
        <v>308</v>
      </c>
      <c r="F58" s="224" t="s">
        <v>163</v>
      </c>
      <c r="G58" s="224" t="s">
        <v>100</v>
      </c>
      <c r="H58" s="224" t="s">
        <v>309</v>
      </c>
      <c r="I58" s="225" t="str">
        <f>CONCATENATE(Table_Query_from_MS_Access_Database_1[RTE],Table_Query_from_MS_Access_Database_1[SEC],Table_Query_from_MS_Access_Database_1[SEQ])</f>
        <v>GLN0253</v>
      </c>
      <c r="J58" s="226">
        <v>43511</v>
      </c>
      <c r="K58" s="226">
        <v>43552</v>
      </c>
      <c r="L58" s="226">
        <v>43556</v>
      </c>
      <c r="M58" s="226">
        <v>43572</v>
      </c>
      <c r="N58" s="227"/>
      <c r="O58" s="138">
        <v>1348530</v>
      </c>
      <c r="P58" s="228"/>
      <c r="Q58" s="228"/>
      <c r="R58" s="228"/>
      <c r="S58" s="228"/>
      <c r="T58" s="228"/>
      <c r="U58" s="228"/>
      <c r="V58" s="228"/>
      <c r="W58" s="228"/>
      <c r="X58" s="228"/>
      <c r="Y58" s="228"/>
      <c r="Z58" s="228"/>
      <c r="AA58" s="228"/>
      <c r="AB58" s="228"/>
      <c r="AC58" s="229">
        <f>SUM(Table_Query_from_MS_Access_Database_1[[#This Row],[HURF EX]:[TAP Flex]])</f>
        <v>1348530</v>
      </c>
      <c r="AD58" s="156">
        <f>AD57-Table_Query_from_MS_Access_Database_1[TOTAL OF AMOUNT]</f>
        <v>106641238.91999999</v>
      </c>
    </row>
    <row r="59" spans="1:30" ht="27" x14ac:dyDescent="0.25">
      <c r="A59" s="224" t="s">
        <v>314</v>
      </c>
      <c r="B59" s="224" t="s">
        <v>315</v>
      </c>
      <c r="C59" s="224" t="s">
        <v>177</v>
      </c>
      <c r="D59" s="224" t="s">
        <v>7</v>
      </c>
      <c r="E59" s="224" t="s">
        <v>316</v>
      </c>
      <c r="F59" s="224" t="s">
        <v>178</v>
      </c>
      <c r="G59" s="224" t="s">
        <v>100</v>
      </c>
      <c r="H59" s="224" t="s">
        <v>317</v>
      </c>
      <c r="I59" s="225" t="str">
        <f>CONCATENATE(Table_Query_from_MS_Access_Database_1[RTE],Table_Query_from_MS_Access_Database_1[SEC],Table_Query_from_MS_Access_Database_1[SEQ])</f>
        <v>CHN0240</v>
      </c>
      <c r="J59" s="226">
        <v>43556</v>
      </c>
      <c r="K59" s="226">
        <v>43563</v>
      </c>
      <c r="L59" s="226">
        <v>43574</v>
      </c>
      <c r="M59" s="226">
        <v>43584</v>
      </c>
      <c r="N59" s="227"/>
      <c r="O59" s="228"/>
      <c r="P59" s="228"/>
      <c r="Q59" s="228"/>
      <c r="R59" s="228"/>
      <c r="S59" s="228"/>
      <c r="T59" s="228"/>
      <c r="U59" s="228"/>
      <c r="V59" s="228">
        <v>1279250</v>
      </c>
      <c r="W59" s="228"/>
      <c r="X59" s="228"/>
      <c r="Y59" s="228"/>
      <c r="Z59" s="228"/>
      <c r="AA59" s="228"/>
      <c r="AB59" s="228"/>
      <c r="AC59" s="229">
        <f>SUM(Table_Query_from_MS_Access_Database_1[[#This Row],[HURF EX]:[TAP Flex]])</f>
        <v>1279250</v>
      </c>
      <c r="AD59" s="156">
        <f>AD58-Table_Query_from_MS_Access_Database_1[TOTAL OF AMOUNT]</f>
        <v>105361988.91999999</v>
      </c>
    </row>
    <row r="60" spans="1:30" x14ac:dyDescent="0.25">
      <c r="A60" s="91" t="s">
        <v>510</v>
      </c>
      <c r="B60" s="91"/>
      <c r="C60" s="91" t="s">
        <v>49</v>
      </c>
      <c r="D60" s="91" t="s">
        <v>7</v>
      </c>
      <c r="E60" s="91" t="s">
        <v>511</v>
      </c>
      <c r="F60" s="91" t="s">
        <v>49</v>
      </c>
      <c r="G60" s="91" t="s">
        <v>198</v>
      </c>
      <c r="H60" s="91" t="s">
        <v>273</v>
      </c>
      <c r="I60" s="222" t="str">
        <f>CONCATENATE(Table_Query_from_MS_Access_Database_1[RTE],Table_Query_from_MS_Access_Database_1[SEC],Table_Query_from_MS_Access_Database_1[SEQ])</f>
        <v>MAGA019</v>
      </c>
      <c r="J60" s="167"/>
      <c r="K60" s="167">
        <v>43570</v>
      </c>
      <c r="L60" s="167">
        <v>43581</v>
      </c>
      <c r="M60" s="167">
        <v>43585</v>
      </c>
      <c r="N60" s="223"/>
      <c r="O60" s="138"/>
      <c r="P60" s="138"/>
      <c r="Q60" s="138"/>
      <c r="R60" s="138"/>
      <c r="S60" s="138"/>
      <c r="T60" s="138"/>
      <c r="U60" s="138"/>
      <c r="V60" s="138"/>
      <c r="W60" s="138"/>
      <c r="X60" s="138"/>
      <c r="Y60" s="138"/>
      <c r="Z60" s="138"/>
      <c r="AA60" s="138">
        <v>400000</v>
      </c>
      <c r="AB60" s="138"/>
      <c r="AC60" s="156">
        <f>SUM(Table_Query_from_MS_Access_Database_1[[#This Row],[HURF EX]:[TAP Flex]])</f>
        <v>400000</v>
      </c>
      <c r="AD60" s="156">
        <f>AD59-Table_Query_from_MS_Access_Database_1[TOTAL OF AMOUNT]</f>
        <v>104961988.91999999</v>
      </c>
    </row>
    <row r="61" spans="1:30" x14ac:dyDescent="0.25">
      <c r="A61" s="91" t="s">
        <v>512</v>
      </c>
      <c r="B61" s="91" t="s">
        <v>140</v>
      </c>
      <c r="C61" s="91" t="s">
        <v>49</v>
      </c>
      <c r="D61" s="91" t="s">
        <v>7</v>
      </c>
      <c r="E61" s="91" t="s">
        <v>377</v>
      </c>
      <c r="F61" s="91" t="s">
        <v>49</v>
      </c>
      <c r="G61" s="91" t="s">
        <v>513</v>
      </c>
      <c r="H61" s="91" t="s">
        <v>273</v>
      </c>
      <c r="I61" s="222" t="str">
        <f>CONCATENATE(Table_Query_from_MS_Access_Database_1[RTE],Table_Query_from_MS_Access_Database_1[SEC],Table_Query_from_MS_Access_Database_1[SEQ])</f>
        <v>MAGU019</v>
      </c>
      <c r="J61" s="167"/>
      <c r="K61" s="167">
        <v>43570</v>
      </c>
      <c r="L61" s="167">
        <v>43581</v>
      </c>
      <c r="M61" s="167">
        <v>43588</v>
      </c>
      <c r="N61" s="223"/>
      <c r="O61" s="138"/>
      <c r="P61" s="138"/>
      <c r="Q61" s="138"/>
      <c r="R61" s="138"/>
      <c r="S61" s="138"/>
      <c r="T61" s="138"/>
      <c r="U61" s="138"/>
      <c r="V61" s="138">
        <v>345360</v>
      </c>
      <c r="W61" s="138"/>
      <c r="X61" s="138"/>
      <c r="Y61" s="138"/>
      <c r="Z61" s="138"/>
      <c r="AA61" s="138"/>
      <c r="AB61" s="138"/>
      <c r="AC61" s="156">
        <f>SUM(Table_Query_from_MS_Access_Database_1[[#This Row],[HURF EX]:[TAP Flex]])</f>
        <v>345360</v>
      </c>
      <c r="AD61" s="156">
        <f>AD60-Table_Query_from_MS_Access_Database_1[TOTAL OF AMOUNT]</f>
        <v>104616628.91999999</v>
      </c>
    </row>
    <row r="62" spans="1:30" ht="27" x14ac:dyDescent="0.25">
      <c r="A62" s="91" t="s">
        <v>310</v>
      </c>
      <c r="B62" s="91" t="s">
        <v>429</v>
      </c>
      <c r="C62" s="91" t="s">
        <v>311</v>
      </c>
      <c r="D62" s="91" t="s">
        <v>7</v>
      </c>
      <c r="E62" s="91" t="s">
        <v>312</v>
      </c>
      <c r="F62" s="91" t="s">
        <v>313</v>
      </c>
      <c r="G62" s="91" t="s">
        <v>100</v>
      </c>
      <c r="H62" s="91" t="s">
        <v>192</v>
      </c>
      <c r="I62" s="222" t="str">
        <f>CONCATENATE(Table_Query_from_MS_Access_Database_1[RTE],Table_Query_from_MS_Access_Database_1[SEC],Table_Query_from_MS_Access_Database_1[SEQ])</f>
        <v>PVY0204</v>
      </c>
      <c r="J62" s="167">
        <v>43586</v>
      </c>
      <c r="K62" s="167">
        <v>43592</v>
      </c>
      <c r="L62" s="167">
        <v>43601</v>
      </c>
      <c r="M62" s="167">
        <v>43613</v>
      </c>
      <c r="N62" s="223"/>
      <c r="O62" s="138">
        <v>2236524</v>
      </c>
      <c r="P62" s="138"/>
      <c r="Q62" s="138"/>
      <c r="R62" s="138"/>
      <c r="S62" s="138"/>
      <c r="T62" s="138"/>
      <c r="U62" s="138"/>
      <c r="V62" s="138"/>
      <c r="W62" s="138"/>
      <c r="X62" s="138"/>
      <c r="Y62" s="138"/>
      <c r="Z62" s="138"/>
      <c r="AA62" s="138"/>
      <c r="AB62" s="138"/>
      <c r="AC62" s="156">
        <f>SUM(Table_Query_from_MS_Access_Database_1[[#This Row],[HURF EX]:[TAP Flex]])</f>
        <v>2236524</v>
      </c>
      <c r="AD62" s="156">
        <f>AD61-Table_Query_from_MS_Access_Database_1[TOTAL OF AMOUNT]</f>
        <v>102380104.91999999</v>
      </c>
    </row>
    <row r="63" spans="1:30" ht="27" x14ac:dyDescent="0.25">
      <c r="A63" s="91" t="s">
        <v>519</v>
      </c>
      <c r="B63" s="91" t="s">
        <v>520</v>
      </c>
      <c r="C63" s="91" t="s">
        <v>186</v>
      </c>
      <c r="D63" s="91" t="s">
        <v>9</v>
      </c>
      <c r="E63" s="91" t="s">
        <v>521</v>
      </c>
      <c r="F63" s="91" t="s">
        <v>187</v>
      </c>
      <c r="G63" s="91" t="s">
        <v>100</v>
      </c>
      <c r="H63" s="91" t="s">
        <v>522</v>
      </c>
      <c r="I63" s="222" t="str">
        <f>CONCATENATE(Table_Query_from_MS_Access_Database_1[RTE],Table_Query_from_MS_Access_Database_1[SEC],Table_Query_from_MS_Access_Database_1[SEQ])</f>
        <v>PHX0288</v>
      </c>
      <c r="J63" s="167"/>
      <c r="K63" s="167">
        <v>43570</v>
      </c>
      <c r="L63" s="167">
        <v>43570</v>
      </c>
      <c r="M63" s="167">
        <v>43613</v>
      </c>
      <c r="N63" s="223"/>
      <c r="O63" s="138">
        <v>-30657.77</v>
      </c>
      <c r="P63" s="138"/>
      <c r="Q63" s="138"/>
      <c r="R63" s="138"/>
      <c r="S63" s="138"/>
      <c r="T63" s="138"/>
      <c r="U63" s="138"/>
      <c r="V63" s="138"/>
      <c r="W63" s="138"/>
      <c r="X63" s="138"/>
      <c r="Y63" s="138"/>
      <c r="Z63" s="138"/>
      <c r="AA63" s="138"/>
      <c r="AB63" s="138"/>
      <c r="AC63" s="156">
        <f>SUM(Table_Query_from_MS_Access_Database_1[[#This Row],[HURF EX]:[TAP Flex]])</f>
        <v>-30657.77</v>
      </c>
      <c r="AD63" s="156">
        <f>AD62-Table_Query_from_MS_Access_Database_1[TOTAL OF AMOUNT]</f>
        <v>102410762.68999998</v>
      </c>
    </row>
    <row r="64" spans="1:30" ht="27" x14ac:dyDescent="0.25">
      <c r="A64" s="91" t="s">
        <v>267</v>
      </c>
      <c r="B64" s="91" t="s">
        <v>270</v>
      </c>
      <c r="C64" s="91" t="s">
        <v>184</v>
      </c>
      <c r="D64" s="91" t="s">
        <v>22</v>
      </c>
      <c r="E64" s="91" t="s">
        <v>268</v>
      </c>
      <c r="F64" s="91" t="s">
        <v>185</v>
      </c>
      <c r="G64" s="91" t="s">
        <v>100</v>
      </c>
      <c r="H64" s="91" t="s">
        <v>190</v>
      </c>
      <c r="I64" s="222" t="str">
        <f>CONCATENATE(Table_Query_from_MS_Access_Database_1[RTE],Table_Query_from_MS_Access_Database_1[SEC],Table_Query_from_MS_Access_Database_1[SEQ])</f>
        <v>MMA0239</v>
      </c>
      <c r="J64" s="167">
        <v>43586</v>
      </c>
      <c r="K64" s="167">
        <v>43608</v>
      </c>
      <c r="L64" s="167">
        <v>43613</v>
      </c>
      <c r="M64" s="167">
        <v>43615</v>
      </c>
      <c r="N64" s="223"/>
      <c r="O64" s="238"/>
      <c r="P64" s="138"/>
      <c r="Q64" s="138"/>
      <c r="R64" s="138"/>
      <c r="S64" s="138"/>
      <c r="T64" s="138"/>
      <c r="U64" s="138"/>
      <c r="V64" s="138">
        <v>2178960</v>
      </c>
      <c r="W64" s="138"/>
      <c r="X64" s="138"/>
      <c r="Y64" s="138"/>
      <c r="Z64" s="138"/>
      <c r="AA64" s="138"/>
      <c r="AB64" s="138"/>
      <c r="AC64" s="156">
        <f>SUM(Table_Query_from_MS_Access_Database_1[[#This Row],[HURF EX]:[TAP Flex]])</f>
        <v>2178960</v>
      </c>
      <c r="AD64" s="156">
        <f>AD63-Table_Query_from_MS_Access_Database_1[TOTAL OF AMOUNT]</f>
        <v>100231802.68999998</v>
      </c>
    </row>
    <row r="65" spans="1:30" x14ac:dyDescent="0.25">
      <c r="A65" s="91" t="s">
        <v>539</v>
      </c>
      <c r="B65" s="91" t="s">
        <v>540</v>
      </c>
      <c r="C65" s="91" t="s">
        <v>193</v>
      </c>
      <c r="D65" s="91" t="s">
        <v>9</v>
      </c>
      <c r="E65" s="91" t="s">
        <v>541</v>
      </c>
      <c r="F65" s="91" t="s">
        <v>194</v>
      </c>
      <c r="G65" s="91" t="s">
        <v>100</v>
      </c>
      <c r="H65" s="91" t="s">
        <v>231</v>
      </c>
      <c r="I65" s="222" t="str">
        <f>CONCATENATE(Table_Query_from_MS_Access_Database_1[RTE],Table_Query_from_MS_Access_Database_1[SEC],Table_Query_from_MS_Access_Database_1[SEQ])</f>
        <v>TMP0242</v>
      </c>
      <c r="J65" s="167"/>
      <c r="K65" s="167">
        <v>43616</v>
      </c>
      <c r="L65" s="167">
        <v>43616</v>
      </c>
      <c r="M65" s="167">
        <v>43619</v>
      </c>
      <c r="N65" s="223"/>
      <c r="O65" s="138">
        <v>-668910.36</v>
      </c>
      <c r="P65" s="138"/>
      <c r="Q65" s="138"/>
      <c r="R65" s="138"/>
      <c r="S65" s="138"/>
      <c r="T65" s="138"/>
      <c r="U65" s="138"/>
      <c r="V65" s="138"/>
      <c r="W65" s="138"/>
      <c r="X65" s="138"/>
      <c r="Y65" s="138"/>
      <c r="Z65" s="138"/>
      <c r="AA65" s="138"/>
      <c r="AB65" s="138"/>
      <c r="AC65" s="156">
        <f>SUM(Table_Query_from_MS_Access_Database_1[[#This Row],[HURF EX]:[TAP Flex]])</f>
        <v>-668910.36</v>
      </c>
      <c r="AD65" s="156">
        <f>AD64-Table_Query_from_MS_Access_Database_1[TOTAL OF AMOUNT]</f>
        <v>100900713.04999998</v>
      </c>
    </row>
    <row r="66" spans="1:30" x14ac:dyDescent="0.25">
      <c r="A66" s="232" t="s">
        <v>514</v>
      </c>
      <c r="B66" s="232" t="s">
        <v>515</v>
      </c>
      <c r="C66" s="232" t="s">
        <v>343</v>
      </c>
      <c r="D66" s="232" t="s">
        <v>9</v>
      </c>
      <c r="E66" s="232" t="s">
        <v>516</v>
      </c>
      <c r="F66" s="232" t="s">
        <v>345</v>
      </c>
      <c r="G66" s="232" t="s">
        <v>100</v>
      </c>
      <c r="H66" s="232" t="s">
        <v>387</v>
      </c>
      <c r="I66" s="233" t="str">
        <f>CONCATENATE(Table_Query_from_MS_Access_Database_1[RTE],Table_Query_from_MS_Access_Database_1[SEC],Table_Query_from_MS_Access_Database_1[SEQ])</f>
        <v>BKY0211</v>
      </c>
      <c r="J66" s="234"/>
      <c r="K66" s="234">
        <v>43570</v>
      </c>
      <c r="L66" s="234">
        <v>43570</v>
      </c>
      <c r="M66" s="234">
        <v>43621</v>
      </c>
      <c r="N66" s="235"/>
      <c r="O66" s="238">
        <v>-47557.06</v>
      </c>
      <c r="P66" s="236"/>
      <c r="Q66" s="236"/>
      <c r="R66" s="236"/>
      <c r="S66" s="236"/>
      <c r="T66" s="236"/>
      <c r="U66" s="236"/>
      <c r="V66" s="236"/>
      <c r="W66" s="236"/>
      <c r="X66" s="236"/>
      <c r="Y66" s="236"/>
      <c r="Z66" s="236"/>
      <c r="AA66" s="236"/>
      <c r="AB66" s="236"/>
      <c r="AC66" s="237">
        <f>SUM(Table_Query_from_MS_Access_Database_1[[#This Row],[HURF EX]:[TAP Flex]])</f>
        <v>-47557.06</v>
      </c>
      <c r="AD66" s="156">
        <f>AD65-Table_Query_from_MS_Access_Database_1[TOTAL OF AMOUNT]</f>
        <v>100948270.10999998</v>
      </c>
    </row>
    <row r="67" spans="1:30" ht="27" x14ac:dyDescent="0.25">
      <c r="A67" s="232" t="s">
        <v>425</v>
      </c>
      <c r="B67" s="232" t="s">
        <v>426</v>
      </c>
      <c r="C67" s="232" t="s">
        <v>162</v>
      </c>
      <c r="D67" s="232" t="s">
        <v>7</v>
      </c>
      <c r="E67" s="232" t="s">
        <v>427</v>
      </c>
      <c r="F67" s="232" t="s">
        <v>163</v>
      </c>
      <c r="G67" s="232" t="s">
        <v>100</v>
      </c>
      <c r="H67" s="232" t="s">
        <v>428</v>
      </c>
      <c r="I67" s="233" t="str">
        <f>CONCATENATE(Table_Query_from_MS_Access_Database_1[RTE],Table_Query_from_MS_Access_Database_1[SEC],Table_Query_from_MS_Access_Database_1[SEQ])</f>
        <v>GLN0257</v>
      </c>
      <c r="J67" s="234">
        <v>43586</v>
      </c>
      <c r="K67" s="234">
        <v>43602</v>
      </c>
      <c r="L67" s="234">
        <v>43606</v>
      </c>
      <c r="M67" s="234">
        <v>43621</v>
      </c>
      <c r="N67" s="235"/>
      <c r="O67" s="236"/>
      <c r="P67" s="236"/>
      <c r="Q67" s="236"/>
      <c r="R67" s="236"/>
      <c r="S67" s="236"/>
      <c r="T67" s="236"/>
      <c r="U67" s="236"/>
      <c r="V67" s="236">
        <v>1898354</v>
      </c>
      <c r="W67" s="236"/>
      <c r="X67" s="236"/>
      <c r="Y67" s="236"/>
      <c r="Z67" s="236"/>
      <c r="AA67" s="236"/>
      <c r="AB67" s="236"/>
      <c r="AC67" s="237">
        <f>SUM(Table_Query_from_MS_Access_Database_1[[#This Row],[HURF EX]:[TAP Flex]])</f>
        <v>1898354</v>
      </c>
      <c r="AD67" s="156">
        <f>AD66-Table_Query_from_MS_Access_Database_1[TOTAL OF AMOUNT]</f>
        <v>99049916.109999985</v>
      </c>
    </row>
    <row r="68" spans="1:30" x14ac:dyDescent="0.25">
      <c r="A68" s="232" t="s">
        <v>517</v>
      </c>
      <c r="B68" s="232" t="s">
        <v>518</v>
      </c>
      <c r="C68" s="232" t="s">
        <v>343</v>
      </c>
      <c r="D68" s="232" t="s">
        <v>9</v>
      </c>
      <c r="E68" s="232" t="s">
        <v>516</v>
      </c>
      <c r="F68" s="232" t="s">
        <v>345</v>
      </c>
      <c r="G68" s="232" t="s">
        <v>100</v>
      </c>
      <c r="H68" s="232" t="s">
        <v>387</v>
      </c>
      <c r="I68" s="233" t="str">
        <f>CONCATENATE(Table_Query_from_MS_Access_Database_1[RTE],Table_Query_from_MS_Access_Database_1[SEC],Table_Query_from_MS_Access_Database_1[SEQ])</f>
        <v>BKY0211</v>
      </c>
      <c r="J68" s="234"/>
      <c r="K68" s="234">
        <v>43570</v>
      </c>
      <c r="L68" s="234">
        <v>43570</v>
      </c>
      <c r="M68" s="234">
        <v>43621</v>
      </c>
      <c r="N68" s="235"/>
      <c r="O68" s="236">
        <v>-989.91</v>
      </c>
      <c r="P68" s="236"/>
      <c r="Q68" s="236"/>
      <c r="R68" s="236"/>
      <c r="S68" s="236"/>
      <c r="T68" s="236"/>
      <c r="U68" s="236"/>
      <c r="V68" s="236"/>
      <c r="W68" s="236"/>
      <c r="X68" s="236"/>
      <c r="Y68" s="236"/>
      <c r="Z68" s="236"/>
      <c r="AA68" s="236"/>
      <c r="AB68" s="236"/>
      <c r="AC68" s="237">
        <f>SUM(Table_Query_from_MS_Access_Database_1[[#This Row],[HURF EX]:[TAP Flex]])</f>
        <v>-989.91</v>
      </c>
      <c r="AD68" s="156">
        <f>AD67-Table_Query_from_MS_Access_Database_1[TOTAL OF AMOUNT]</f>
        <v>99050906.019999981</v>
      </c>
    </row>
    <row r="69" spans="1:30" x14ac:dyDescent="0.25">
      <c r="A69" s="232" t="s">
        <v>379</v>
      </c>
      <c r="B69" s="232"/>
      <c r="C69" s="232" t="s">
        <v>49</v>
      </c>
      <c r="D69" s="232" t="s">
        <v>8</v>
      </c>
      <c r="E69" s="232" t="s">
        <v>552</v>
      </c>
      <c r="F69" s="232" t="s">
        <v>49</v>
      </c>
      <c r="G69" s="232" t="s">
        <v>380</v>
      </c>
      <c r="H69" s="232" t="s">
        <v>273</v>
      </c>
      <c r="I69" s="233" t="str">
        <f>CONCATENATE(Table_Query_from_MS_Access_Database_1[RTE],Table_Query_from_MS_Access_Database_1[SEC],Table_Query_from_MS_Access_Database_1[SEQ])</f>
        <v>MAGT019</v>
      </c>
      <c r="J69" s="234"/>
      <c r="K69" s="234">
        <v>43615</v>
      </c>
      <c r="L69" s="234">
        <v>43620</v>
      </c>
      <c r="M69" s="234">
        <v>43622</v>
      </c>
      <c r="N69" s="235"/>
      <c r="O69" s="236"/>
      <c r="P69" s="236"/>
      <c r="Q69" s="236"/>
      <c r="R69" s="236"/>
      <c r="S69" s="236"/>
      <c r="T69" s="236"/>
      <c r="U69" s="236"/>
      <c r="V69" s="236">
        <v>21553</v>
      </c>
      <c r="W69" s="236"/>
      <c r="X69" s="236"/>
      <c r="Y69" s="236"/>
      <c r="Z69" s="236"/>
      <c r="AA69" s="236"/>
      <c r="AB69" s="236"/>
      <c r="AC69" s="237">
        <f>SUM(Table_Query_from_MS_Access_Database_1[[#This Row],[HURF EX]:[TAP Flex]])</f>
        <v>21553</v>
      </c>
      <c r="AD69" s="156">
        <f>AD68-Table_Query_from_MS_Access_Database_1[TOTAL OF AMOUNT]</f>
        <v>99029353.019999981</v>
      </c>
    </row>
    <row r="70" spans="1:30" ht="40.5" x14ac:dyDescent="0.25">
      <c r="A70" s="232" t="s">
        <v>547</v>
      </c>
      <c r="B70" s="232" t="s">
        <v>584</v>
      </c>
      <c r="C70" s="232" t="s">
        <v>49</v>
      </c>
      <c r="D70" s="232" t="s">
        <v>8</v>
      </c>
      <c r="E70" s="232" t="s">
        <v>548</v>
      </c>
      <c r="F70" s="232" t="s">
        <v>49</v>
      </c>
      <c r="G70" s="232" t="s">
        <v>549</v>
      </c>
      <c r="H70" s="232" t="s">
        <v>273</v>
      </c>
      <c r="I70" s="233" t="str">
        <f>CONCATENATE(Table_Query_from_MS_Access_Database_1[RTE],Table_Query_from_MS_Access_Database_1[SEC],Table_Query_from_MS_Access_Database_1[SEQ])</f>
        <v>MAGR019</v>
      </c>
      <c r="J70" s="234"/>
      <c r="K70" s="234">
        <v>43616</v>
      </c>
      <c r="L70" s="234">
        <v>43620</v>
      </c>
      <c r="M70" s="234">
        <v>43622</v>
      </c>
      <c r="N70" s="235"/>
      <c r="O70" s="238"/>
      <c r="P70" s="236"/>
      <c r="Q70" s="236"/>
      <c r="R70" s="236"/>
      <c r="S70" s="236"/>
      <c r="T70" s="236"/>
      <c r="U70" s="236"/>
      <c r="V70" s="236"/>
      <c r="W70" s="236"/>
      <c r="X70" s="236"/>
      <c r="Y70" s="236"/>
      <c r="Z70" s="236"/>
      <c r="AA70" s="236">
        <v>100000</v>
      </c>
      <c r="AB70" s="236"/>
      <c r="AC70" s="237">
        <f>SUM(Table_Query_from_MS_Access_Database_1[[#This Row],[HURF EX]:[TAP Flex]])</f>
        <v>100000</v>
      </c>
      <c r="AD70" s="156">
        <f>AD69-Table_Query_from_MS_Access_Database_1[TOTAL OF AMOUNT]</f>
        <v>98929353.019999981</v>
      </c>
    </row>
    <row r="71" spans="1:30" ht="27" x14ac:dyDescent="0.25">
      <c r="A71" s="232" t="s">
        <v>531</v>
      </c>
      <c r="B71" s="232" t="s">
        <v>554</v>
      </c>
      <c r="C71" s="232" t="s">
        <v>201</v>
      </c>
      <c r="D71" s="232" t="s">
        <v>8</v>
      </c>
      <c r="E71" s="232" t="s">
        <v>532</v>
      </c>
      <c r="F71" s="232" t="s">
        <v>202</v>
      </c>
      <c r="G71" s="232" t="s">
        <v>100</v>
      </c>
      <c r="H71" s="232" t="s">
        <v>232</v>
      </c>
      <c r="I71" s="233" t="str">
        <f>CONCATENATE(Table_Query_from_MS_Access_Database_1[RTE],Table_Query_from_MS_Access_Database_1[SEC],Table_Query_from_MS_Access_Database_1[SEQ])</f>
        <v>SUR0232</v>
      </c>
      <c r="J71" s="234"/>
      <c r="K71" s="234">
        <v>43613</v>
      </c>
      <c r="L71" s="234">
        <v>43620</v>
      </c>
      <c r="M71" s="234">
        <v>43629</v>
      </c>
      <c r="N71" s="235"/>
      <c r="O71" s="236"/>
      <c r="P71" s="236"/>
      <c r="Q71" s="236"/>
      <c r="R71" s="236"/>
      <c r="S71" s="236"/>
      <c r="T71" s="236"/>
      <c r="U71" s="236"/>
      <c r="V71" s="236"/>
      <c r="W71" s="236"/>
      <c r="X71" s="236"/>
      <c r="Y71" s="236"/>
      <c r="Z71" s="236"/>
      <c r="AA71" s="236">
        <v>21739</v>
      </c>
      <c r="AB71" s="236"/>
      <c r="AC71" s="237">
        <f>SUM(Table_Query_from_MS_Access_Database_1[[#This Row],[HURF EX]:[TAP Flex]])</f>
        <v>21739</v>
      </c>
      <c r="AD71" s="156">
        <f>AD70-Table_Query_from_MS_Access_Database_1[TOTAL OF AMOUNT]</f>
        <v>98907614.019999981</v>
      </c>
    </row>
    <row r="72" spans="1:30" ht="27" x14ac:dyDescent="0.25">
      <c r="A72" s="232" t="s">
        <v>536</v>
      </c>
      <c r="B72" s="232" t="s">
        <v>555</v>
      </c>
      <c r="C72" s="232" t="s">
        <v>201</v>
      </c>
      <c r="D72" s="232" t="s">
        <v>8</v>
      </c>
      <c r="E72" s="232" t="s">
        <v>537</v>
      </c>
      <c r="F72" s="232" t="s">
        <v>202</v>
      </c>
      <c r="G72" s="232" t="s">
        <v>100</v>
      </c>
      <c r="H72" s="232" t="s">
        <v>538</v>
      </c>
      <c r="I72" s="233" t="str">
        <f>CONCATENATE(Table_Query_from_MS_Access_Database_1[RTE],Table_Query_from_MS_Access_Database_1[SEC],Table_Query_from_MS_Access_Database_1[SEQ])</f>
        <v>SUR0234</v>
      </c>
      <c r="J72" s="234"/>
      <c r="K72" s="234">
        <v>43613</v>
      </c>
      <c r="L72" s="234">
        <v>43620</v>
      </c>
      <c r="M72" s="234">
        <v>43629</v>
      </c>
      <c r="N72" s="235"/>
      <c r="O72" s="236"/>
      <c r="P72" s="236"/>
      <c r="Q72" s="236"/>
      <c r="R72" s="236"/>
      <c r="S72" s="236"/>
      <c r="T72" s="236"/>
      <c r="U72" s="236"/>
      <c r="V72" s="236"/>
      <c r="W72" s="236"/>
      <c r="X72" s="236"/>
      <c r="Y72" s="236"/>
      <c r="Z72" s="236"/>
      <c r="AA72" s="236">
        <v>21740</v>
      </c>
      <c r="AB72" s="236"/>
      <c r="AC72" s="237">
        <f>SUM(Table_Query_from_MS_Access_Database_1[[#This Row],[HURF EX]:[TAP Flex]])</f>
        <v>21740</v>
      </c>
      <c r="AD72" s="156">
        <f>AD71-Table_Query_from_MS_Access_Database_1[TOTAL OF AMOUNT]</f>
        <v>98885874.019999981</v>
      </c>
    </row>
    <row r="73" spans="1:30" ht="27" x14ac:dyDescent="0.25">
      <c r="A73" s="232" t="s">
        <v>533</v>
      </c>
      <c r="B73" s="232" t="s">
        <v>553</v>
      </c>
      <c r="C73" s="232" t="s">
        <v>201</v>
      </c>
      <c r="D73" s="232" t="s">
        <v>8</v>
      </c>
      <c r="E73" s="232" t="s">
        <v>534</v>
      </c>
      <c r="F73" s="232" t="s">
        <v>202</v>
      </c>
      <c r="G73" s="232" t="s">
        <v>100</v>
      </c>
      <c r="H73" s="232" t="s">
        <v>535</v>
      </c>
      <c r="I73" s="233" t="str">
        <f>CONCATENATE(Table_Query_from_MS_Access_Database_1[RTE],Table_Query_from_MS_Access_Database_1[SEC],Table_Query_from_MS_Access_Database_1[SEQ])</f>
        <v>SUR0233</v>
      </c>
      <c r="J73" s="234"/>
      <c r="K73" s="234">
        <v>43613</v>
      </c>
      <c r="L73" s="234">
        <v>43620</v>
      </c>
      <c r="M73" s="234">
        <v>43629</v>
      </c>
      <c r="N73" s="235"/>
      <c r="O73" s="236"/>
      <c r="P73" s="236"/>
      <c r="Q73" s="236"/>
      <c r="R73" s="236"/>
      <c r="S73" s="236"/>
      <c r="T73" s="236"/>
      <c r="U73" s="236"/>
      <c r="V73" s="236"/>
      <c r="W73" s="236"/>
      <c r="X73" s="236"/>
      <c r="Y73" s="236"/>
      <c r="Z73" s="236"/>
      <c r="AA73" s="236">
        <v>21740</v>
      </c>
      <c r="AB73" s="236"/>
      <c r="AC73" s="237">
        <f>SUM(Table_Query_from_MS_Access_Database_1[[#This Row],[HURF EX]:[TAP Flex]])</f>
        <v>21740</v>
      </c>
      <c r="AD73" s="156">
        <f>AD72-Table_Query_from_MS_Access_Database_1[TOTAL OF AMOUNT]</f>
        <v>98864134.019999981</v>
      </c>
    </row>
    <row r="74" spans="1:30" ht="27" x14ac:dyDescent="0.25">
      <c r="A74" s="232" t="s">
        <v>250</v>
      </c>
      <c r="B74" s="232" t="s">
        <v>375</v>
      </c>
      <c r="C74" s="232" t="s">
        <v>184</v>
      </c>
      <c r="D74" s="232" t="s">
        <v>8</v>
      </c>
      <c r="E74" s="232" t="s">
        <v>200</v>
      </c>
      <c r="F74" s="232" t="s">
        <v>185</v>
      </c>
      <c r="G74" s="232" t="s">
        <v>100</v>
      </c>
      <c r="H74" s="232" t="s">
        <v>263</v>
      </c>
      <c r="I74" s="233" t="str">
        <f>CONCATENATE(Table_Query_from_MS_Access_Database_1[RTE],Table_Query_from_MS_Access_Database_1[SEC],Table_Query_from_MS_Access_Database_1[SEQ])</f>
        <v>MMA0277</v>
      </c>
      <c r="J74" s="234">
        <v>43586</v>
      </c>
      <c r="K74" s="234">
        <v>43613</v>
      </c>
      <c r="L74" s="234">
        <v>43619</v>
      </c>
      <c r="M74" s="234">
        <v>43629</v>
      </c>
      <c r="N74" s="235"/>
      <c r="O74" s="236"/>
      <c r="P74" s="236"/>
      <c r="Q74" s="236"/>
      <c r="R74" s="236"/>
      <c r="S74" s="236"/>
      <c r="T74" s="236"/>
      <c r="U74" s="236"/>
      <c r="V74" s="236"/>
      <c r="W74" s="236"/>
      <c r="X74" s="236"/>
      <c r="Y74" s="236">
        <v>47148</v>
      </c>
      <c r="Z74" s="236"/>
      <c r="AA74" s="236"/>
      <c r="AB74" s="236"/>
      <c r="AC74" s="237">
        <f>SUM(Table_Query_from_MS_Access_Database_1[[#This Row],[HURF EX]:[TAP Flex]])</f>
        <v>47148</v>
      </c>
      <c r="AD74" s="156">
        <f>AD73-Table_Query_from_MS_Access_Database_1[TOTAL OF AMOUNT]</f>
        <v>98816986.019999981</v>
      </c>
    </row>
    <row r="75" spans="1:30" ht="27" x14ac:dyDescent="0.25">
      <c r="A75" s="232" t="s">
        <v>249</v>
      </c>
      <c r="B75" s="232" t="s">
        <v>374</v>
      </c>
      <c r="C75" s="232" t="s">
        <v>184</v>
      </c>
      <c r="D75" s="232" t="s">
        <v>8</v>
      </c>
      <c r="E75" s="232" t="s">
        <v>199</v>
      </c>
      <c r="F75" s="232" t="s">
        <v>185</v>
      </c>
      <c r="G75" s="232" t="s">
        <v>100</v>
      </c>
      <c r="H75" s="232" t="s">
        <v>262</v>
      </c>
      <c r="I75" s="233" t="str">
        <f>CONCATENATE(Table_Query_from_MS_Access_Database_1[RTE],Table_Query_from_MS_Access_Database_1[SEC],Table_Query_from_MS_Access_Database_1[SEQ])</f>
        <v>MMA0278</v>
      </c>
      <c r="J75" s="234">
        <v>43556</v>
      </c>
      <c r="K75" s="234">
        <v>43613</v>
      </c>
      <c r="L75" s="234">
        <v>43620</v>
      </c>
      <c r="M75" s="234">
        <v>43629</v>
      </c>
      <c r="N75" s="235"/>
      <c r="O75" s="236"/>
      <c r="P75" s="236"/>
      <c r="Q75" s="236"/>
      <c r="R75" s="236"/>
      <c r="S75" s="236"/>
      <c r="T75" s="236"/>
      <c r="U75" s="236"/>
      <c r="V75" s="236"/>
      <c r="W75" s="236"/>
      <c r="X75" s="236"/>
      <c r="Y75" s="236">
        <v>47148</v>
      </c>
      <c r="Z75" s="236"/>
      <c r="AA75" s="236"/>
      <c r="AB75" s="236"/>
      <c r="AC75" s="237">
        <f>SUM(Table_Query_from_MS_Access_Database_1[[#This Row],[HURF EX]:[TAP Flex]])</f>
        <v>47148</v>
      </c>
      <c r="AD75" s="156">
        <f>AD74-Table_Query_from_MS_Access_Database_1[TOTAL OF AMOUNT]</f>
        <v>98769838.019999981</v>
      </c>
    </row>
    <row r="76" spans="1:30" ht="40.5" x14ac:dyDescent="0.25">
      <c r="A76" s="232" t="s">
        <v>440</v>
      </c>
      <c r="B76" s="232" t="s">
        <v>338</v>
      </c>
      <c r="C76" s="232" t="s">
        <v>177</v>
      </c>
      <c r="D76" s="232" t="s">
        <v>7</v>
      </c>
      <c r="E76" s="232" t="s">
        <v>339</v>
      </c>
      <c r="F76" s="232" t="s">
        <v>178</v>
      </c>
      <c r="G76" s="232" t="s">
        <v>100</v>
      </c>
      <c r="H76" s="232" t="s">
        <v>231</v>
      </c>
      <c r="I76" s="233" t="str">
        <f>CONCATENATE(Table_Query_from_MS_Access_Database_1[RTE],Table_Query_from_MS_Access_Database_1[SEC],Table_Query_from_MS_Access_Database_1[SEQ])</f>
        <v>CHN0242</v>
      </c>
      <c r="J76" s="234">
        <v>43556</v>
      </c>
      <c r="K76" s="234">
        <v>43602</v>
      </c>
      <c r="L76" s="234">
        <v>43620</v>
      </c>
      <c r="M76" s="234">
        <v>43629</v>
      </c>
      <c r="N76" s="235"/>
      <c r="O76" s="236">
        <v>792120</v>
      </c>
      <c r="P76" s="236"/>
      <c r="Q76" s="236"/>
      <c r="R76" s="236"/>
      <c r="S76" s="236"/>
      <c r="T76" s="236"/>
      <c r="U76" s="236"/>
      <c r="V76" s="236"/>
      <c r="W76" s="236"/>
      <c r="X76" s="236"/>
      <c r="Y76" s="236"/>
      <c r="Z76" s="236"/>
      <c r="AA76" s="236"/>
      <c r="AB76" s="236"/>
      <c r="AC76" s="237">
        <f>SUM(Table_Query_from_MS_Access_Database_1[[#This Row],[HURF EX]:[TAP Flex]])</f>
        <v>792120</v>
      </c>
      <c r="AD76" s="156">
        <f>AD75-Table_Query_from_MS_Access_Database_1[TOTAL OF AMOUNT]</f>
        <v>97977718.019999981</v>
      </c>
    </row>
    <row r="77" spans="1:30" x14ac:dyDescent="0.25">
      <c r="A77" s="232" t="s">
        <v>331</v>
      </c>
      <c r="B77" s="232" t="s">
        <v>332</v>
      </c>
      <c r="C77" s="232" t="s">
        <v>186</v>
      </c>
      <c r="D77" s="232" t="s">
        <v>7</v>
      </c>
      <c r="E77" s="232" t="s">
        <v>333</v>
      </c>
      <c r="F77" s="232" t="s">
        <v>187</v>
      </c>
      <c r="G77" s="232" t="s">
        <v>100</v>
      </c>
      <c r="H77" s="232" t="s">
        <v>334</v>
      </c>
      <c r="I77" s="233" t="str">
        <f>CONCATENATE(Table_Query_from_MS_Access_Database_1[RTE],Table_Query_from_MS_Access_Database_1[SEC],Table_Query_from_MS_Access_Database_1[SEQ])</f>
        <v>PHX0347</v>
      </c>
      <c r="J77" s="234">
        <v>43602</v>
      </c>
      <c r="K77" s="234">
        <v>43620</v>
      </c>
      <c r="L77" s="234">
        <v>43622</v>
      </c>
      <c r="M77" s="234">
        <v>43630</v>
      </c>
      <c r="N77" s="235"/>
      <c r="O77" s="236"/>
      <c r="P77" s="236"/>
      <c r="Q77" s="236"/>
      <c r="R77" s="236"/>
      <c r="S77" s="236"/>
      <c r="T77" s="236"/>
      <c r="U77" s="236"/>
      <c r="V77" s="236"/>
      <c r="W77" s="236"/>
      <c r="X77" s="236"/>
      <c r="Y77" s="236"/>
      <c r="Z77" s="236"/>
      <c r="AA77" s="236">
        <v>829132</v>
      </c>
      <c r="AB77" s="236"/>
      <c r="AC77" s="237">
        <f>SUM(Table_Query_from_MS_Access_Database_1[[#This Row],[HURF EX]:[TAP Flex]])</f>
        <v>829132</v>
      </c>
      <c r="AD77" s="156">
        <f>AD76-Table_Query_from_MS_Access_Database_1[TOTAL OF AMOUNT]</f>
        <v>97148586.019999981</v>
      </c>
    </row>
    <row r="78" spans="1:30" x14ac:dyDescent="0.25">
      <c r="A78" s="232" t="s">
        <v>530</v>
      </c>
      <c r="B78" s="232" t="s">
        <v>413</v>
      </c>
      <c r="C78" s="232" t="s">
        <v>177</v>
      </c>
      <c r="D78" s="232" t="s">
        <v>7</v>
      </c>
      <c r="E78" s="232" t="s">
        <v>414</v>
      </c>
      <c r="F78" s="232" t="s">
        <v>178</v>
      </c>
      <c r="G78" s="232" t="s">
        <v>100</v>
      </c>
      <c r="H78" s="232" t="s">
        <v>232</v>
      </c>
      <c r="I78" s="233" t="str">
        <f>CONCATENATE(Table_Query_from_MS_Access_Database_1[RTE],Table_Query_from_MS_Access_Database_1[SEC],Table_Query_from_MS_Access_Database_1[SEQ])</f>
        <v>CHN0232</v>
      </c>
      <c r="J78" s="234"/>
      <c r="K78" s="234">
        <v>43620</v>
      </c>
      <c r="L78" s="234">
        <v>43633</v>
      </c>
      <c r="M78" s="234">
        <v>43636</v>
      </c>
      <c r="N78" s="235"/>
      <c r="O78" s="236"/>
      <c r="P78" s="236"/>
      <c r="Q78" s="236"/>
      <c r="R78" s="236"/>
      <c r="S78" s="236"/>
      <c r="T78" s="236"/>
      <c r="U78" s="236"/>
      <c r="V78" s="236">
        <v>258385</v>
      </c>
      <c r="W78" s="236"/>
      <c r="X78" s="236"/>
      <c r="Y78" s="236"/>
      <c r="Z78" s="236"/>
      <c r="AA78" s="236"/>
      <c r="AB78" s="236"/>
      <c r="AC78" s="237">
        <f>SUM(Table_Query_from_MS_Access_Database_1[[#This Row],[HURF EX]:[TAP Flex]])</f>
        <v>258385</v>
      </c>
      <c r="AD78" s="156">
        <f>AD77-Table_Query_from_MS_Access_Database_1[TOTAL OF AMOUNT]</f>
        <v>96890201.019999981</v>
      </c>
    </row>
    <row r="79" spans="1:30" ht="40.5" x14ac:dyDescent="0.25">
      <c r="A79" s="232" t="s">
        <v>446</v>
      </c>
      <c r="B79" s="232" t="s">
        <v>447</v>
      </c>
      <c r="C79" s="232" t="s">
        <v>177</v>
      </c>
      <c r="D79" s="232" t="s">
        <v>7</v>
      </c>
      <c r="E79" s="232" t="s">
        <v>448</v>
      </c>
      <c r="F79" s="232" t="s">
        <v>178</v>
      </c>
      <c r="G79" s="232" t="s">
        <v>100</v>
      </c>
      <c r="H79" s="232" t="s">
        <v>449</v>
      </c>
      <c r="I79" s="233" t="str">
        <f>CONCATENATE(Table_Query_from_MS_Access_Database_1[RTE],Table_Query_from_MS_Access_Database_1[SEC],Table_Query_from_MS_Access_Database_1[SEQ])</f>
        <v>CHN0243</v>
      </c>
      <c r="J79" s="234">
        <v>43600</v>
      </c>
      <c r="K79" s="234">
        <v>43622</v>
      </c>
      <c r="L79" s="234">
        <v>43628</v>
      </c>
      <c r="M79" s="234">
        <v>43636</v>
      </c>
      <c r="N79" s="235"/>
      <c r="O79" s="236">
        <v>3047479</v>
      </c>
      <c r="P79" s="236"/>
      <c r="Q79" s="236"/>
      <c r="R79" s="236"/>
      <c r="S79" s="236"/>
      <c r="T79" s="236"/>
      <c r="U79" s="236"/>
      <c r="V79" s="236">
        <v>140947</v>
      </c>
      <c r="W79" s="236"/>
      <c r="X79" s="236"/>
      <c r="Y79" s="236"/>
      <c r="Z79" s="236"/>
      <c r="AA79" s="236"/>
      <c r="AB79" s="236"/>
      <c r="AC79" s="237">
        <f>SUM(Table_Query_from_MS_Access_Database_1[[#This Row],[HURF EX]:[TAP Flex]])</f>
        <v>3188426</v>
      </c>
      <c r="AD79" s="156">
        <f>AD78-Table_Query_from_MS_Access_Database_1[TOTAL OF AMOUNT]</f>
        <v>93701775.019999981</v>
      </c>
    </row>
    <row r="80" spans="1:30" ht="27" x14ac:dyDescent="0.25">
      <c r="A80" s="232" t="s">
        <v>436</v>
      </c>
      <c r="B80" s="232" t="s">
        <v>284</v>
      </c>
      <c r="C80" s="232" t="s">
        <v>186</v>
      </c>
      <c r="D80" s="232" t="s">
        <v>7</v>
      </c>
      <c r="E80" s="232" t="s">
        <v>437</v>
      </c>
      <c r="F80" s="232" t="s">
        <v>187</v>
      </c>
      <c r="G80" s="232" t="s">
        <v>100</v>
      </c>
      <c r="H80" s="232" t="s">
        <v>438</v>
      </c>
      <c r="I80" s="233" t="str">
        <f>CONCATENATE(Table_Query_from_MS_Access_Database_1[RTE],Table_Query_from_MS_Access_Database_1[SEC],Table_Query_from_MS_Access_Database_1[SEQ])</f>
        <v>PHX0349</v>
      </c>
      <c r="J80" s="234">
        <v>43609</v>
      </c>
      <c r="K80" s="234">
        <v>43633</v>
      </c>
      <c r="L80" s="234">
        <v>43634</v>
      </c>
      <c r="M80" s="234">
        <v>43641</v>
      </c>
      <c r="N80" s="235"/>
      <c r="O80" s="236">
        <v>913060</v>
      </c>
      <c r="P80" s="236"/>
      <c r="Q80" s="236"/>
      <c r="R80" s="236"/>
      <c r="S80" s="236"/>
      <c r="T80" s="236"/>
      <c r="U80" s="236"/>
      <c r="V80" s="236"/>
      <c r="W80" s="236"/>
      <c r="X80" s="236"/>
      <c r="Y80" s="236"/>
      <c r="Z80" s="236"/>
      <c r="AA80" s="236"/>
      <c r="AB80" s="236"/>
      <c r="AC80" s="237">
        <f>SUM(Table_Query_from_MS_Access_Database_1[[#This Row],[HURF EX]:[TAP Flex]])</f>
        <v>913060</v>
      </c>
      <c r="AD80" s="156">
        <f>AD79-Table_Query_from_MS_Access_Database_1[TOTAL OF AMOUNT]</f>
        <v>92788715.019999981</v>
      </c>
    </row>
    <row r="81" spans="1:30" ht="27" x14ac:dyDescent="0.25">
      <c r="A81" s="232" t="s">
        <v>529</v>
      </c>
      <c r="B81" s="232" t="s">
        <v>397</v>
      </c>
      <c r="C81" s="232" t="s">
        <v>49</v>
      </c>
      <c r="D81" s="232" t="s">
        <v>7</v>
      </c>
      <c r="E81" s="232" t="s">
        <v>281</v>
      </c>
      <c r="F81" s="232" t="s">
        <v>49</v>
      </c>
      <c r="G81" s="232" t="s">
        <v>100</v>
      </c>
      <c r="H81" s="232" t="s">
        <v>544</v>
      </c>
      <c r="I81" s="233" t="str">
        <f>CONCATENATE(Table_Query_from_MS_Access_Database_1[RTE],Table_Query_from_MS_Access_Database_1[SEC],Table_Query_from_MS_Access_Database_1[SEQ])</f>
        <v>MAG0202</v>
      </c>
      <c r="J81" s="234">
        <v>43617</v>
      </c>
      <c r="K81" s="234">
        <v>43629</v>
      </c>
      <c r="L81" s="234">
        <v>43634</v>
      </c>
      <c r="M81" s="234">
        <v>43641</v>
      </c>
      <c r="N81" s="235"/>
      <c r="O81" s="236">
        <v>4133020</v>
      </c>
      <c r="P81" s="236"/>
      <c r="Q81" s="236"/>
      <c r="R81" s="236"/>
      <c r="S81" s="236"/>
      <c r="T81" s="236"/>
      <c r="U81" s="236"/>
      <c r="V81" s="236"/>
      <c r="W81" s="236"/>
      <c r="X81" s="236"/>
      <c r="Y81" s="236"/>
      <c r="Z81" s="236"/>
      <c r="AA81" s="236"/>
      <c r="AB81" s="236"/>
      <c r="AC81" s="237">
        <f>SUM(Table_Query_from_MS_Access_Database_1[[#This Row],[HURF EX]:[TAP Flex]])</f>
        <v>4133020</v>
      </c>
      <c r="AD81" s="156">
        <f>AD80-Table_Query_from_MS_Access_Database_1[TOTAL OF AMOUNT]</f>
        <v>88655695.019999981</v>
      </c>
    </row>
    <row r="82" spans="1:30" ht="27" x14ac:dyDescent="0.25">
      <c r="A82" s="232" t="s">
        <v>430</v>
      </c>
      <c r="B82" s="232" t="s">
        <v>431</v>
      </c>
      <c r="C82" s="232" t="s">
        <v>180</v>
      </c>
      <c r="D82" s="232" t="s">
        <v>8</v>
      </c>
      <c r="E82" s="232" t="s">
        <v>432</v>
      </c>
      <c r="F82" s="232" t="s">
        <v>181</v>
      </c>
      <c r="G82" s="232" t="s">
        <v>100</v>
      </c>
      <c r="H82" s="232" t="s">
        <v>433</v>
      </c>
      <c r="I82" s="233" t="str">
        <f>CONCATENATE(Table_Query_from_MS_Access_Database_1[RTE],Table_Query_from_MS_Access_Database_1[SEC],Table_Query_from_MS_Access_Database_1[SEQ])</f>
        <v>MAR0206</v>
      </c>
      <c r="J82" s="234">
        <v>43586</v>
      </c>
      <c r="K82" s="234">
        <v>43623</v>
      </c>
      <c r="L82" s="234">
        <v>43635</v>
      </c>
      <c r="M82" s="234">
        <v>43641</v>
      </c>
      <c r="N82" s="235"/>
      <c r="O82" s="236"/>
      <c r="P82" s="236"/>
      <c r="Q82" s="236"/>
      <c r="R82" s="236"/>
      <c r="S82" s="236"/>
      <c r="T82" s="236"/>
      <c r="U82" s="236">
        <v>807620</v>
      </c>
      <c r="V82" s="236"/>
      <c r="W82" s="236"/>
      <c r="X82" s="236"/>
      <c r="Y82" s="236"/>
      <c r="Z82" s="236"/>
      <c r="AA82" s="236"/>
      <c r="AB82" s="236"/>
      <c r="AC82" s="237">
        <f>SUM(Table_Query_from_MS_Access_Database_1[[#This Row],[HURF EX]:[TAP Flex]])</f>
        <v>807620</v>
      </c>
      <c r="AD82" s="156">
        <f>AD81-Table_Query_from_MS_Access_Database_1[TOTAL OF AMOUNT]</f>
        <v>87848075.019999981</v>
      </c>
    </row>
    <row r="83" spans="1:30" ht="27" x14ac:dyDescent="0.25">
      <c r="A83" s="232" t="s">
        <v>435</v>
      </c>
      <c r="B83" s="232" t="s">
        <v>321</v>
      </c>
      <c r="C83" s="232" t="s">
        <v>184</v>
      </c>
      <c r="D83" s="232" t="s">
        <v>7</v>
      </c>
      <c r="E83" s="232" t="s">
        <v>322</v>
      </c>
      <c r="F83" s="232" t="s">
        <v>185</v>
      </c>
      <c r="G83" s="232" t="s">
        <v>100</v>
      </c>
      <c r="H83" s="232" t="s">
        <v>323</v>
      </c>
      <c r="I83" s="233" t="str">
        <f>CONCATENATE(Table_Query_from_MS_Access_Database_1[RTE],Table_Query_from_MS_Access_Database_1[SEC],Table_Query_from_MS_Access_Database_1[SEQ])</f>
        <v>MMA0273</v>
      </c>
      <c r="J83" s="234">
        <v>43497</v>
      </c>
      <c r="K83" s="234">
        <v>43633</v>
      </c>
      <c r="L83" s="234">
        <v>43635</v>
      </c>
      <c r="M83" s="234">
        <v>43641</v>
      </c>
      <c r="N83" s="235"/>
      <c r="O83" s="236">
        <v>122590</v>
      </c>
      <c r="P83" s="236"/>
      <c r="Q83" s="236"/>
      <c r="R83" s="236"/>
      <c r="S83" s="236"/>
      <c r="T83" s="236"/>
      <c r="U83" s="236"/>
      <c r="V83" s="236"/>
      <c r="W83" s="236"/>
      <c r="X83" s="236"/>
      <c r="Y83" s="236"/>
      <c r="Z83" s="236"/>
      <c r="AA83" s="236"/>
      <c r="AB83" s="236"/>
      <c r="AC83" s="237">
        <f>SUM(Table_Query_from_MS_Access_Database_1[[#This Row],[HURF EX]:[TAP Flex]])</f>
        <v>122590</v>
      </c>
      <c r="AD83" s="156">
        <f>AD82-Table_Query_from_MS_Access_Database_1[TOTAL OF AMOUNT]</f>
        <v>87725485.019999981</v>
      </c>
    </row>
    <row r="84" spans="1:30" ht="27" x14ac:dyDescent="0.25">
      <c r="A84" s="232" t="s">
        <v>350</v>
      </c>
      <c r="B84" s="232" t="s">
        <v>484</v>
      </c>
      <c r="C84" s="232" t="s">
        <v>180</v>
      </c>
      <c r="D84" s="232" t="s">
        <v>7</v>
      </c>
      <c r="E84" s="232" t="s">
        <v>351</v>
      </c>
      <c r="F84" s="232" t="s">
        <v>181</v>
      </c>
      <c r="G84" s="232" t="s">
        <v>100</v>
      </c>
      <c r="H84" s="232" t="s">
        <v>387</v>
      </c>
      <c r="I84" s="233" t="str">
        <f>CONCATENATE(Table_Query_from_MS_Access_Database_1[RTE],Table_Query_from_MS_Access_Database_1[SEC],Table_Query_from_MS_Access_Database_1[SEQ])</f>
        <v>MAR0211</v>
      </c>
      <c r="J84" s="234">
        <v>43600</v>
      </c>
      <c r="K84" s="234">
        <v>43629</v>
      </c>
      <c r="L84" s="234">
        <v>43641</v>
      </c>
      <c r="M84" s="234">
        <v>43641</v>
      </c>
      <c r="N84" s="235"/>
      <c r="O84" s="236">
        <v>565652</v>
      </c>
      <c r="P84" s="236"/>
      <c r="Q84" s="236"/>
      <c r="R84" s="236"/>
      <c r="S84" s="236"/>
      <c r="T84" s="236"/>
      <c r="U84" s="236"/>
      <c r="V84" s="236"/>
      <c r="W84" s="236"/>
      <c r="X84" s="236"/>
      <c r="Y84" s="236"/>
      <c r="Z84" s="236"/>
      <c r="AA84" s="236"/>
      <c r="AB84" s="236"/>
      <c r="AC84" s="237">
        <f>SUM(Table_Query_from_MS_Access_Database_1[[#This Row],[HURF EX]:[TAP Flex]])</f>
        <v>565652</v>
      </c>
      <c r="AD84" s="156">
        <f>AD83-Table_Query_from_MS_Access_Database_1[TOTAL OF AMOUNT]</f>
        <v>87159833.019999981</v>
      </c>
    </row>
    <row r="85" spans="1:30" ht="27" x14ac:dyDescent="0.25">
      <c r="A85" s="232" t="s">
        <v>445</v>
      </c>
      <c r="B85" s="232" t="s">
        <v>442</v>
      </c>
      <c r="C85" s="232" t="s">
        <v>175</v>
      </c>
      <c r="D85" s="232" t="s">
        <v>7</v>
      </c>
      <c r="E85" s="232" t="s">
        <v>443</v>
      </c>
      <c r="F85" s="232" t="s">
        <v>176</v>
      </c>
      <c r="G85" s="232" t="s">
        <v>100</v>
      </c>
      <c r="H85" s="232" t="s">
        <v>444</v>
      </c>
      <c r="I85" s="233" t="str">
        <f>CONCATENATE(Table_Query_from_MS_Access_Database_1[RTE],Table_Query_from_MS_Access_Database_1[SEC],Table_Query_from_MS_Access_Database_1[SEQ])</f>
        <v>PPN0218</v>
      </c>
      <c r="J85" s="234">
        <v>43617</v>
      </c>
      <c r="K85" s="234">
        <v>43628</v>
      </c>
      <c r="L85" s="234">
        <v>43629</v>
      </c>
      <c r="M85" s="234">
        <v>43641</v>
      </c>
      <c r="N85" s="235"/>
      <c r="O85" s="236"/>
      <c r="P85" s="236">
        <v>311190</v>
      </c>
      <c r="Q85" s="236"/>
      <c r="R85" s="236"/>
      <c r="S85" s="236"/>
      <c r="T85" s="236"/>
      <c r="U85" s="236"/>
      <c r="V85" s="236"/>
      <c r="W85" s="236"/>
      <c r="X85" s="236"/>
      <c r="Y85" s="236"/>
      <c r="Z85" s="236"/>
      <c r="AA85" s="236"/>
      <c r="AB85" s="236"/>
      <c r="AC85" s="237">
        <f>SUM(Table_Query_from_MS_Access_Database_1[[#This Row],[HURF EX]:[TAP Flex]])</f>
        <v>311190</v>
      </c>
      <c r="AD85" s="156">
        <f>AD84-Table_Query_from_MS_Access_Database_1[TOTAL OF AMOUNT]</f>
        <v>86848643.019999981</v>
      </c>
    </row>
    <row r="86" spans="1:30" ht="27" x14ac:dyDescent="0.25">
      <c r="A86" s="232" t="s">
        <v>335</v>
      </c>
      <c r="B86" s="232" t="s">
        <v>439</v>
      </c>
      <c r="C86" s="232" t="s">
        <v>186</v>
      </c>
      <c r="D86" s="232" t="s">
        <v>7</v>
      </c>
      <c r="E86" s="232" t="s">
        <v>336</v>
      </c>
      <c r="F86" s="232" t="s">
        <v>187</v>
      </c>
      <c r="G86" s="232" t="s">
        <v>100</v>
      </c>
      <c r="H86" s="232" t="s">
        <v>337</v>
      </c>
      <c r="I86" s="233" t="str">
        <f>CONCATENATE(Table_Query_from_MS_Access_Database_1[RTE],Table_Query_from_MS_Access_Database_1[SEC],Table_Query_from_MS_Access_Database_1[SEQ])</f>
        <v>PHX0350</v>
      </c>
      <c r="J86" s="234">
        <v>43609</v>
      </c>
      <c r="K86" s="234">
        <v>43635</v>
      </c>
      <c r="L86" s="234">
        <v>43637</v>
      </c>
      <c r="M86" s="234">
        <v>43641</v>
      </c>
      <c r="N86" s="235"/>
      <c r="O86" s="236">
        <v>2776263</v>
      </c>
      <c r="P86" s="236"/>
      <c r="Q86" s="236"/>
      <c r="R86" s="236"/>
      <c r="S86" s="236"/>
      <c r="T86" s="236"/>
      <c r="U86" s="236"/>
      <c r="V86" s="236"/>
      <c r="W86" s="236"/>
      <c r="X86" s="236"/>
      <c r="Y86" s="236"/>
      <c r="Z86" s="236"/>
      <c r="AA86" s="236"/>
      <c r="AB86" s="236"/>
      <c r="AC86" s="237">
        <f>SUM(Table_Query_from_MS_Access_Database_1[[#This Row],[HURF EX]:[TAP Flex]])</f>
        <v>2776263</v>
      </c>
      <c r="AD86" s="156">
        <f>AD85-Table_Query_from_MS_Access_Database_1[TOTAL OF AMOUNT]</f>
        <v>84072380.019999981</v>
      </c>
    </row>
    <row r="87" spans="1:30" ht="27" x14ac:dyDescent="0.25">
      <c r="A87" s="232" t="s">
        <v>441</v>
      </c>
      <c r="B87" s="232" t="s">
        <v>442</v>
      </c>
      <c r="C87" s="232" t="s">
        <v>175</v>
      </c>
      <c r="D87" s="232" t="s">
        <v>7</v>
      </c>
      <c r="E87" s="232" t="s">
        <v>443</v>
      </c>
      <c r="F87" s="232" t="s">
        <v>176</v>
      </c>
      <c r="G87" s="232" t="s">
        <v>100</v>
      </c>
      <c r="H87" s="232" t="s">
        <v>444</v>
      </c>
      <c r="I87" s="233" t="str">
        <f>CONCATENATE(Table_Query_from_MS_Access_Database_1[RTE],Table_Query_from_MS_Access_Database_1[SEC],Table_Query_from_MS_Access_Database_1[SEQ])</f>
        <v>PPN0218</v>
      </c>
      <c r="J87" s="234">
        <v>43586</v>
      </c>
      <c r="K87" s="234">
        <v>43628</v>
      </c>
      <c r="L87" s="234">
        <v>43629</v>
      </c>
      <c r="M87" s="234">
        <v>43641</v>
      </c>
      <c r="N87" s="235"/>
      <c r="O87" s="236"/>
      <c r="P87" s="236">
        <v>28290</v>
      </c>
      <c r="Q87" s="236"/>
      <c r="R87" s="236"/>
      <c r="S87" s="236"/>
      <c r="T87" s="236"/>
      <c r="U87" s="236"/>
      <c r="V87" s="236"/>
      <c r="W87" s="236"/>
      <c r="X87" s="236"/>
      <c r="Y87" s="236"/>
      <c r="Z87" s="236"/>
      <c r="AA87" s="236"/>
      <c r="AB87" s="236"/>
      <c r="AC87" s="237">
        <f>SUM(Table_Query_from_MS_Access_Database_1[[#This Row],[HURF EX]:[TAP Flex]])</f>
        <v>28290</v>
      </c>
      <c r="AD87" s="156">
        <f>AD86-Table_Query_from_MS_Access_Database_1[TOTAL OF AMOUNT]</f>
        <v>84044090.019999981</v>
      </c>
    </row>
    <row r="88" spans="1:30" ht="27" x14ac:dyDescent="0.25">
      <c r="A88" s="232" t="s">
        <v>415</v>
      </c>
      <c r="B88" s="232" t="s">
        <v>416</v>
      </c>
      <c r="C88" s="232" t="s">
        <v>417</v>
      </c>
      <c r="D88" s="232" t="s">
        <v>8</v>
      </c>
      <c r="E88" s="232" t="s">
        <v>418</v>
      </c>
      <c r="F88" s="232" t="s">
        <v>419</v>
      </c>
      <c r="G88" s="232" t="s">
        <v>100</v>
      </c>
      <c r="H88" s="232" t="s">
        <v>420</v>
      </c>
      <c r="I88" s="233" t="str">
        <f>CONCATENATE(Table_Query_from_MS_Access_Database_1[RTE],Table_Query_from_MS_Access_Database_1[SEC],Table_Query_from_MS_Access_Database_1[SEQ])</f>
        <v>APJ0212</v>
      </c>
      <c r="J88" s="234">
        <v>43556</v>
      </c>
      <c r="K88" s="234">
        <v>43627</v>
      </c>
      <c r="L88" s="234">
        <v>43635</v>
      </c>
      <c r="M88" s="234">
        <v>43641</v>
      </c>
      <c r="N88" s="235"/>
      <c r="O88" s="236"/>
      <c r="P88" s="236"/>
      <c r="Q88" s="236"/>
      <c r="R88" s="236"/>
      <c r="S88" s="236"/>
      <c r="T88" s="236"/>
      <c r="U88" s="236"/>
      <c r="V88" s="236">
        <v>696761</v>
      </c>
      <c r="W88" s="236"/>
      <c r="X88" s="236"/>
      <c r="Y88" s="236"/>
      <c r="Z88" s="236"/>
      <c r="AA88" s="236"/>
      <c r="AB88" s="236"/>
      <c r="AC88" s="237">
        <f>SUM(Table_Query_from_MS_Access_Database_1[[#This Row],[HURF EX]:[TAP Flex]])</f>
        <v>696761</v>
      </c>
      <c r="AD88" s="156">
        <f>AD87-Table_Query_from_MS_Access_Database_1[TOTAL OF AMOUNT]</f>
        <v>83347329.019999981</v>
      </c>
    </row>
    <row r="89" spans="1:30" x14ac:dyDescent="0.25">
      <c r="A89" s="232" t="s">
        <v>326</v>
      </c>
      <c r="B89" s="232" t="s">
        <v>327</v>
      </c>
      <c r="C89" s="232" t="s">
        <v>193</v>
      </c>
      <c r="D89" s="232" t="s">
        <v>7</v>
      </c>
      <c r="E89" s="232" t="s">
        <v>328</v>
      </c>
      <c r="F89" s="232" t="s">
        <v>194</v>
      </c>
      <c r="G89" s="232" t="s">
        <v>100</v>
      </c>
      <c r="H89" s="232" t="s">
        <v>265</v>
      </c>
      <c r="I89" s="233" t="str">
        <f>CONCATENATE(Table_Query_from_MS_Access_Database_1[RTE],Table_Query_from_MS_Access_Database_1[SEC],Table_Query_from_MS_Access_Database_1[SEQ])</f>
        <v>TMP0250</v>
      </c>
      <c r="J89" s="234">
        <v>43616</v>
      </c>
      <c r="K89" s="234">
        <v>43616</v>
      </c>
      <c r="L89" s="234">
        <v>43627</v>
      </c>
      <c r="M89" s="234">
        <v>43641</v>
      </c>
      <c r="N89" s="235"/>
      <c r="O89" s="236">
        <v>391901</v>
      </c>
      <c r="P89" s="236"/>
      <c r="Q89" s="236"/>
      <c r="R89" s="236"/>
      <c r="S89" s="236"/>
      <c r="T89" s="236"/>
      <c r="U89" s="236"/>
      <c r="V89" s="236"/>
      <c r="W89" s="236"/>
      <c r="X89" s="236"/>
      <c r="Y89" s="236"/>
      <c r="Z89" s="236"/>
      <c r="AA89" s="236"/>
      <c r="AB89" s="236"/>
      <c r="AC89" s="237">
        <f>SUM(Table_Query_from_MS_Access_Database_1[[#This Row],[HURF EX]:[TAP Flex]])</f>
        <v>391901</v>
      </c>
      <c r="AD89" s="156">
        <f>AD88-Table_Query_from_MS_Access_Database_1[TOTAL OF AMOUNT]</f>
        <v>82955428.019999981</v>
      </c>
    </row>
    <row r="90" spans="1:30" ht="27" x14ac:dyDescent="0.25">
      <c r="A90" s="232" t="s">
        <v>288</v>
      </c>
      <c r="B90" s="232" t="s">
        <v>289</v>
      </c>
      <c r="C90" s="232" t="s">
        <v>195</v>
      </c>
      <c r="D90" s="232" t="s">
        <v>7</v>
      </c>
      <c r="E90" s="232" t="s">
        <v>290</v>
      </c>
      <c r="F90" s="232" t="s">
        <v>196</v>
      </c>
      <c r="G90" s="232" t="s">
        <v>100</v>
      </c>
      <c r="H90" s="232" t="s">
        <v>215</v>
      </c>
      <c r="I90" s="233" t="str">
        <f>CONCATENATE(Table_Query_from_MS_Access_Database_1[RTE],Table_Query_from_MS_Access_Database_1[SEC],Table_Query_from_MS_Access_Database_1[SEQ])</f>
        <v>AVN0215</v>
      </c>
      <c r="J90" s="234">
        <v>43619</v>
      </c>
      <c r="K90" s="234">
        <v>43627</v>
      </c>
      <c r="L90" s="234">
        <v>43635</v>
      </c>
      <c r="M90" s="234">
        <v>43643</v>
      </c>
      <c r="N90" s="235"/>
      <c r="O90" s="236">
        <v>1264427</v>
      </c>
      <c r="P90" s="236"/>
      <c r="Q90" s="236"/>
      <c r="R90" s="236"/>
      <c r="S90" s="236"/>
      <c r="T90" s="236"/>
      <c r="U90" s="236"/>
      <c r="V90" s="236"/>
      <c r="W90" s="236"/>
      <c r="X90" s="236"/>
      <c r="Y90" s="236"/>
      <c r="Z90" s="236"/>
      <c r="AA90" s="236"/>
      <c r="AB90" s="236"/>
      <c r="AC90" s="237">
        <f>SUM(Table_Query_from_MS_Access_Database_1[[#This Row],[HURF EX]:[TAP Flex]])</f>
        <v>1264427</v>
      </c>
      <c r="AD90" s="156">
        <f>AD89-Table_Query_from_MS_Access_Database_1[TOTAL OF AMOUNT]</f>
        <v>81691001.019999981</v>
      </c>
    </row>
    <row r="91" spans="1:30" x14ac:dyDescent="0.25">
      <c r="A91" s="232" t="s">
        <v>556</v>
      </c>
      <c r="B91" s="232" t="s">
        <v>557</v>
      </c>
      <c r="C91" s="232" t="s">
        <v>186</v>
      </c>
      <c r="D91" s="232" t="s">
        <v>8</v>
      </c>
      <c r="E91" s="232" t="s">
        <v>411</v>
      </c>
      <c r="F91" s="232" t="s">
        <v>187</v>
      </c>
      <c r="G91" s="232" t="s">
        <v>100</v>
      </c>
      <c r="H91" s="232" t="s">
        <v>558</v>
      </c>
      <c r="I91" s="233" t="str">
        <f>CONCATENATE(Table_Query_from_MS_Access_Database_1[RTE],Table_Query_from_MS_Access_Database_1[SEC],Table_Query_from_MS_Access_Database_1[SEQ])</f>
        <v>PHX0285</v>
      </c>
      <c r="J91" s="234"/>
      <c r="K91" s="234">
        <v>43643</v>
      </c>
      <c r="L91" s="234">
        <v>43643</v>
      </c>
      <c r="M91" s="234">
        <v>43643</v>
      </c>
      <c r="N91" s="235"/>
      <c r="O91" s="236">
        <v>-200000</v>
      </c>
      <c r="P91" s="236"/>
      <c r="Q91" s="236"/>
      <c r="R91" s="236"/>
      <c r="S91" s="236"/>
      <c r="T91" s="236"/>
      <c r="U91" s="236"/>
      <c r="V91" s="236"/>
      <c r="W91" s="236"/>
      <c r="X91" s="236"/>
      <c r="Y91" s="236"/>
      <c r="Z91" s="236"/>
      <c r="AA91" s="236"/>
      <c r="AB91" s="236"/>
      <c r="AC91" s="237">
        <f>SUM(Table_Query_from_MS_Access_Database_1[[#This Row],[HURF EX]:[TAP Flex]])</f>
        <v>-200000</v>
      </c>
      <c r="AD91" s="156">
        <f>AD90-Table_Query_from_MS_Access_Database_1[TOTAL OF AMOUNT]</f>
        <v>81891001.019999981</v>
      </c>
    </row>
    <row r="92" spans="1:30" x14ac:dyDescent="0.25">
      <c r="A92" s="232" t="s">
        <v>412</v>
      </c>
      <c r="B92" s="232" t="s">
        <v>413</v>
      </c>
      <c r="C92" s="232" t="s">
        <v>177</v>
      </c>
      <c r="D92" s="232" t="s">
        <v>7</v>
      </c>
      <c r="E92" s="232" t="s">
        <v>414</v>
      </c>
      <c r="F92" s="232" t="s">
        <v>178</v>
      </c>
      <c r="G92" s="232" t="s">
        <v>100</v>
      </c>
      <c r="H92" s="232" t="s">
        <v>232</v>
      </c>
      <c r="I92" s="233" t="str">
        <f>CONCATENATE(Table_Query_from_MS_Access_Database_1[RTE],Table_Query_from_MS_Access_Database_1[SEC],Table_Query_from_MS_Access_Database_1[SEQ])</f>
        <v>CHN0232</v>
      </c>
      <c r="J92" s="234">
        <v>43556</v>
      </c>
      <c r="K92" s="234">
        <v>43620</v>
      </c>
      <c r="L92" s="234">
        <v>43637</v>
      </c>
      <c r="M92" s="234">
        <v>43643</v>
      </c>
      <c r="N92" s="235"/>
      <c r="O92" s="236"/>
      <c r="P92" s="236"/>
      <c r="Q92" s="236"/>
      <c r="R92" s="236"/>
      <c r="S92" s="236"/>
      <c r="T92" s="236"/>
      <c r="U92" s="236"/>
      <c r="V92" s="236">
        <v>96890</v>
      </c>
      <c r="W92" s="236"/>
      <c r="X92" s="236"/>
      <c r="Y92" s="236"/>
      <c r="Z92" s="236"/>
      <c r="AA92" s="236"/>
      <c r="AB92" s="236"/>
      <c r="AC92" s="237">
        <f>SUM(Table_Query_from_MS_Access_Database_1[[#This Row],[HURF EX]:[TAP Flex]])</f>
        <v>96890</v>
      </c>
      <c r="AD92" s="156">
        <f>AD91-Table_Query_from_MS_Access_Database_1[TOTAL OF AMOUNT]</f>
        <v>81794111.019999981</v>
      </c>
    </row>
    <row r="93" spans="1:30" x14ac:dyDescent="0.25">
      <c r="A93" s="232" t="s">
        <v>300</v>
      </c>
      <c r="B93" s="232" t="s">
        <v>301</v>
      </c>
      <c r="C93" s="232" t="s">
        <v>175</v>
      </c>
      <c r="D93" s="232" t="s">
        <v>21</v>
      </c>
      <c r="E93" s="232" t="s">
        <v>302</v>
      </c>
      <c r="F93" s="232" t="s">
        <v>176</v>
      </c>
      <c r="G93" s="232" t="s">
        <v>100</v>
      </c>
      <c r="H93" s="232" t="s">
        <v>191</v>
      </c>
      <c r="I93" s="233" t="str">
        <f>CONCATENATE(Table_Query_from_MS_Access_Database_1[RTE],Table_Query_from_MS_Access_Database_1[SEC],Table_Query_from_MS_Access_Database_1[SEQ])</f>
        <v>PPN0217</v>
      </c>
      <c r="J93" s="234"/>
      <c r="K93" s="234">
        <v>43641</v>
      </c>
      <c r="L93" s="234">
        <v>43642</v>
      </c>
      <c r="M93" s="234">
        <v>43643</v>
      </c>
      <c r="N93" s="235"/>
      <c r="O93" s="236">
        <v>-178115</v>
      </c>
      <c r="P93" s="236"/>
      <c r="Q93" s="236"/>
      <c r="R93" s="236"/>
      <c r="S93" s="236"/>
      <c r="T93" s="236"/>
      <c r="U93" s="236"/>
      <c r="V93" s="236"/>
      <c r="W93" s="236"/>
      <c r="X93" s="236"/>
      <c r="Y93" s="236"/>
      <c r="Z93" s="236"/>
      <c r="AA93" s="236"/>
      <c r="AB93" s="236"/>
      <c r="AC93" s="237">
        <f>SUM(Table_Query_from_MS_Access_Database_1[[#This Row],[HURF EX]:[TAP Flex]])</f>
        <v>-178115</v>
      </c>
      <c r="AD93" s="156">
        <f>AD92-Table_Query_from_MS_Access_Database_1[TOTAL OF AMOUNT]</f>
        <v>81972226.019999981</v>
      </c>
    </row>
    <row r="94" spans="1:30" x14ac:dyDescent="0.25">
      <c r="A94" s="232" t="s">
        <v>523</v>
      </c>
      <c r="B94" s="232" t="s">
        <v>524</v>
      </c>
      <c r="C94" s="232" t="s">
        <v>175</v>
      </c>
      <c r="D94" s="232" t="s">
        <v>7</v>
      </c>
      <c r="E94" s="232" t="s">
        <v>525</v>
      </c>
      <c r="F94" s="232" t="s">
        <v>176</v>
      </c>
      <c r="G94" s="232" t="s">
        <v>100</v>
      </c>
      <c r="H94" s="232" t="s">
        <v>526</v>
      </c>
      <c r="I94" s="233" t="str">
        <f>CONCATENATE(Table_Query_from_MS_Access_Database_1[RTE],Table_Query_from_MS_Access_Database_1[SEC],Table_Query_from_MS_Access_Database_1[SEQ])</f>
        <v>PPN0219</v>
      </c>
      <c r="J94" s="234">
        <v>43617</v>
      </c>
      <c r="K94" s="234">
        <v>43634</v>
      </c>
      <c r="L94" s="234">
        <v>43641</v>
      </c>
      <c r="M94" s="234">
        <v>43643</v>
      </c>
      <c r="N94" s="235"/>
      <c r="O94" s="236">
        <v>56580</v>
      </c>
      <c r="P94" s="236"/>
      <c r="Q94" s="236"/>
      <c r="R94" s="236"/>
      <c r="S94" s="236"/>
      <c r="T94" s="236"/>
      <c r="U94" s="236"/>
      <c r="V94" s="236"/>
      <c r="W94" s="236"/>
      <c r="X94" s="236"/>
      <c r="Y94" s="236"/>
      <c r="Z94" s="236"/>
      <c r="AA94" s="236"/>
      <c r="AB94" s="236"/>
      <c r="AC94" s="237">
        <f>SUM(Table_Query_from_MS_Access_Database_1[[#This Row],[HURF EX]:[TAP Flex]])</f>
        <v>56580</v>
      </c>
      <c r="AD94" s="156">
        <f>AD93-Table_Query_from_MS_Access_Database_1[TOTAL OF AMOUNT]</f>
        <v>81915646.019999981</v>
      </c>
    </row>
    <row r="95" spans="1:30" x14ac:dyDescent="0.25">
      <c r="A95" s="232" t="s">
        <v>527</v>
      </c>
      <c r="B95" s="232" t="s">
        <v>524</v>
      </c>
      <c r="C95" s="232" t="s">
        <v>175</v>
      </c>
      <c r="D95" s="232" t="s">
        <v>7</v>
      </c>
      <c r="E95" s="232" t="s">
        <v>525</v>
      </c>
      <c r="F95" s="232" t="s">
        <v>176</v>
      </c>
      <c r="G95" s="232" t="s">
        <v>100</v>
      </c>
      <c r="H95" s="232" t="s">
        <v>526</v>
      </c>
      <c r="I95" s="233" t="str">
        <f>CONCATENATE(Table_Query_from_MS_Access_Database_1[RTE],Table_Query_from_MS_Access_Database_1[SEC],Table_Query_from_MS_Access_Database_1[SEQ])</f>
        <v>PPN0219</v>
      </c>
      <c r="J95" s="234">
        <v>43617</v>
      </c>
      <c r="K95" s="234">
        <v>43634</v>
      </c>
      <c r="L95" s="234">
        <v>43641</v>
      </c>
      <c r="M95" s="234">
        <v>43643</v>
      </c>
      <c r="N95" s="235"/>
      <c r="O95" s="236">
        <v>518620</v>
      </c>
      <c r="P95" s="236"/>
      <c r="Q95" s="236"/>
      <c r="R95" s="236"/>
      <c r="S95" s="236"/>
      <c r="T95" s="236"/>
      <c r="U95" s="236"/>
      <c r="V95" s="236"/>
      <c r="W95" s="236"/>
      <c r="X95" s="236"/>
      <c r="Y95" s="236"/>
      <c r="Z95" s="236"/>
      <c r="AA95" s="236"/>
      <c r="AB95" s="236"/>
      <c r="AC95" s="237">
        <f>SUM(Table_Query_from_MS_Access_Database_1[[#This Row],[HURF EX]:[TAP Flex]])</f>
        <v>518620</v>
      </c>
      <c r="AD95" s="156">
        <f>AD94-Table_Query_from_MS_Access_Database_1[TOTAL OF AMOUNT]</f>
        <v>81397026.019999981</v>
      </c>
    </row>
    <row r="96" spans="1:30" x14ac:dyDescent="0.25">
      <c r="A96" s="232" t="s">
        <v>297</v>
      </c>
      <c r="B96" s="232" t="s">
        <v>298</v>
      </c>
      <c r="C96" s="232" t="s">
        <v>175</v>
      </c>
      <c r="D96" s="232" t="s">
        <v>21</v>
      </c>
      <c r="E96" s="232" t="s">
        <v>299</v>
      </c>
      <c r="F96" s="232" t="s">
        <v>176</v>
      </c>
      <c r="G96" s="232" t="s">
        <v>100</v>
      </c>
      <c r="H96" s="232" t="s">
        <v>264</v>
      </c>
      <c r="I96" s="233" t="str">
        <f>CONCATENATE(Table_Query_from_MS_Access_Database_1[RTE],Table_Query_from_MS_Access_Database_1[SEC],Table_Query_from_MS_Access_Database_1[SEQ])</f>
        <v>PPN0216</v>
      </c>
      <c r="J96" s="234"/>
      <c r="K96" s="234">
        <v>43641</v>
      </c>
      <c r="L96" s="234">
        <v>43642</v>
      </c>
      <c r="M96" s="234">
        <v>43643</v>
      </c>
      <c r="N96" s="235"/>
      <c r="O96" s="236"/>
      <c r="P96" s="236">
        <v>-49267</v>
      </c>
      <c r="Q96" s="236"/>
      <c r="R96" s="236"/>
      <c r="S96" s="236"/>
      <c r="T96" s="236"/>
      <c r="U96" s="236"/>
      <c r="V96" s="236"/>
      <c r="W96" s="236"/>
      <c r="X96" s="236"/>
      <c r="Y96" s="236"/>
      <c r="Z96" s="236"/>
      <c r="AA96" s="236"/>
      <c r="AB96" s="236"/>
      <c r="AC96" s="237">
        <f>SUM(Table_Query_from_MS_Access_Database_1[[#This Row],[HURF EX]:[TAP Flex]])</f>
        <v>-49267</v>
      </c>
      <c r="AD96" s="156">
        <f>AD95-Table_Query_from_MS_Access_Database_1[TOTAL OF AMOUNT]</f>
        <v>81446293.019999981</v>
      </c>
    </row>
    <row r="97" spans="1:30" x14ac:dyDescent="0.25">
      <c r="A97" s="232" t="s">
        <v>340</v>
      </c>
      <c r="B97" s="232" t="s">
        <v>229</v>
      </c>
      <c r="C97" s="232" t="s">
        <v>188</v>
      </c>
      <c r="D97" s="232" t="s">
        <v>8</v>
      </c>
      <c r="E97" s="232" t="s">
        <v>269</v>
      </c>
      <c r="F97" s="232" t="s">
        <v>189</v>
      </c>
      <c r="G97" s="232" t="s">
        <v>100</v>
      </c>
      <c r="H97" s="232" t="s">
        <v>232</v>
      </c>
      <c r="I97" s="233" t="str">
        <f>CONCATENATE(Table_Query_from_MS_Access_Database_1[RTE],Table_Query_from_MS_Access_Database_1[SEC],Table_Query_from_MS_Access_Database_1[SEQ])</f>
        <v>SCT0232</v>
      </c>
      <c r="J97" s="234"/>
      <c r="K97" s="234">
        <v>43641</v>
      </c>
      <c r="L97" s="234">
        <v>43647</v>
      </c>
      <c r="M97" s="234">
        <v>43649</v>
      </c>
      <c r="N97" s="235"/>
      <c r="O97" s="236"/>
      <c r="P97" s="236"/>
      <c r="Q97" s="236"/>
      <c r="R97" s="236"/>
      <c r="S97" s="236"/>
      <c r="T97" s="236"/>
      <c r="U97" s="236"/>
      <c r="V97" s="236"/>
      <c r="W97" s="236"/>
      <c r="X97" s="236"/>
      <c r="Y97" s="236"/>
      <c r="Z97" s="236"/>
      <c r="AA97" s="236">
        <v>-47149</v>
      </c>
      <c r="AB97" s="236"/>
      <c r="AC97" s="237">
        <f>SUM(Table_Query_from_MS_Access_Database_1[[#This Row],[HURF EX]:[TAP Flex]])</f>
        <v>-47149</v>
      </c>
      <c r="AD97" s="156">
        <f>AD96-Table_Query_from_MS_Access_Database_1[TOTAL OF AMOUNT]</f>
        <v>81493442.019999981</v>
      </c>
    </row>
    <row r="98" spans="1:30" x14ac:dyDescent="0.25">
      <c r="A98" s="232" t="s">
        <v>561</v>
      </c>
      <c r="B98" s="232" t="s">
        <v>283</v>
      </c>
      <c r="C98" s="232" t="s">
        <v>49</v>
      </c>
      <c r="D98" s="232" t="s">
        <v>559</v>
      </c>
      <c r="E98" s="232" t="s">
        <v>562</v>
      </c>
      <c r="F98" s="232" t="s">
        <v>197</v>
      </c>
      <c r="G98" s="232" t="s">
        <v>198</v>
      </c>
      <c r="H98" s="232" t="s">
        <v>140</v>
      </c>
      <c r="I98" s="233" t="str">
        <f>CONCATENATE(Table_Query_from_MS_Access_Database_1[RTE],Table_Query_from_MS_Access_Database_1[SEC],Table_Query_from_MS_Access_Database_1[SEQ])</f>
        <v>999AN/A</v>
      </c>
      <c r="J98" s="234"/>
      <c r="K98" s="234">
        <v>43649</v>
      </c>
      <c r="L98" s="234">
        <v>43649</v>
      </c>
      <c r="M98" s="234">
        <v>43651</v>
      </c>
      <c r="N98" s="235"/>
      <c r="O98" s="236"/>
      <c r="P98" s="236"/>
      <c r="Q98" s="236"/>
      <c r="R98" s="236"/>
      <c r="S98" s="236"/>
      <c r="T98" s="236"/>
      <c r="U98" s="236"/>
      <c r="V98" s="236">
        <v>18091828</v>
      </c>
      <c r="W98" s="236"/>
      <c r="X98" s="236"/>
      <c r="Y98" s="236"/>
      <c r="Z98" s="236"/>
      <c r="AA98" s="236"/>
      <c r="AB98" s="236"/>
      <c r="AC98" s="237">
        <f>SUM(Table_Query_from_MS_Access_Database_1[[#This Row],[HURF EX]:[TAP Flex]])</f>
        <v>18091828</v>
      </c>
      <c r="AD98" s="156">
        <f>AD97-Table_Query_from_MS_Access_Database_1[TOTAL OF AMOUNT]</f>
        <v>63401614.019999981</v>
      </c>
    </row>
    <row r="99" spans="1:30" x14ac:dyDescent="0.25">
      <c r="A99" s="232" t="s">
        <v>282</v>
      </c>
      <c r="B99" s="232" t="s">
        <v>560</v>
      </c>
      <c r="C99" s="232" t="s">
        <v>49</v>
      </c>
      <c r="D99" s="232" t="s">
        <v>559</v>
      </c>
      <c r="E99" s="232" t="s">
        <v>251</v>
      </c>
      <c r="F99" s="232" t="s">
        <v>197</v>
      </c>
      <c r="G99" s="232" t="s">
        <v>198</v>
      </c>
      <c r="H99" s="232" t="s">
        <v>140</v>
      </c>
      <c r="I99" s="233" t="str">
        <f>CONCATENATE(Table_Query_from_MS_Access_Database_1[RTE],Table_Query_from_MS_Access_Database_1[SEC],Table_Query_from_MS_Access_Database_1[SEQ])</f>
        <v>999AN/A</v>
      </c>
      <c r="J99" s="234"/>
      <c r="K99" s="234">
        <v>43649</v>
      </c>
      <c r="L99" s="234">
        <v>43649</v>
      </c>
      <c r="M99" s="234">
        <v>43651</v>
      </c>
      <c r="N99" s="235"/>
      <c r="O99" s="236">
        <v>9245331</v>
      </c>
      <c r="P99" s="236"/>
      <c r="Q99" s="236"/>
      <c r="R99" s="236"/>
      <c r="S99" s="236"/>
      <c r="T99" s="236"/>
      <c r="U99" s="236"/>
      <c r="V99" s="236">
        <v>10920127</v>
      </c>
      <c r="W99" s="236"/>
      <c r="X99" s="236"/>
      <c r="Y99" s="236"/>
      <c r="Z99" s="236"/>
      <c r="AA99" s="236"/>
      <c r="AB99" s="236"/>
      <c r="AC99" s="237">
        <f>SUM(Table_Query_from_MS_Access_Database_1[[#This Row],[HURF EX]:[TAP Flex]])</f>
        <v>20165458</v>
      </c>
      <c r="AD99" s="156">
        <f>AD98-Table_Query_from_MS_Access_Database_1[TOTAL OF AMOUNT]</f>
        <v>43236156.019999981</v>
      </c>
    </row>
    <row r="100" spans="1:30" x14ac:dyDescent="0.25">
      <c r="A100" s="232" t="s">
        <v>471</v>
      </c>
      <c r="B100" s="232" t="s">
        <v>395</v>
      </c>
      <c r="C100" s="232" t="s">
        <v>162</v>
      </c>
      <c r="D100" s="232" t="s">
        <v>7</v>
      </c>
      <c r="E100" s="232" t="s">
        <v>396</v>
      </c>
      <c r="F100" s="232" t="s">
        <v>163</v>
      </c>
      <c r="G100" s="232" t="s">
        <v>100</v>
      </c>
      <c r="H100" s="232" t="s">
        <v>567</v>
      </c>
      <c r="I100" s="233" t="str">
        <f>CONCATENATE(Table_Query_from_MS_Access_Database_1[RTE],Table_Query_from_MS_Access_Database_1[SEC],Table_Query_from_MS_Access_Database_1[SEQ])</f>
        <v>GLN0260</v>
      </c>
      <c r="J100" s="234">
        <v>43586</v>
      </c>
      <c r="K100" s="234">
        <v>43642</v>
      </c>
      <c r="L100" s="234">
        <v>43651</v>
      </c>
      <c r="M100" s="234">
        <v>43663</v>
      </c>
      <c r="N100" s="235"/>
      <c r="O100" s="236"/>
      <c r="P100" s="236"/>
      <c r="Q100" s="236"/>
      <c r="R100" s="236"/>
      <c r="S100" s="236"/>
      <c r="T100" s="236"/>
      <c r="U100" s="236"/>
      <c r="V100" s="236">
        <v>153689</v>
      </c>
      <c r="W100" s="236"/>
      <c r="X100" s="236"/>
      <c r="Y100" s="236"/>
      <c r="Z100" s="236"/>
      <c r="AA100" s="236"/>
      <c r="AB100" s="236"/>
      <c r="AC100" s="237">
        <f>SUM(Table_Query_from_MS_Access_Database_1[[#This Row],[HURF EX]:[TAP Flex]])</f>
        <v>153689</v>
      </c>
      <c r="AD100" s="156">
        <f>AD99-Table_Query_from_MS_Access_Database_1[TOTAL OF AMOUNT]</f>
        <v>43082467.019999981</v>
      </c>
    </row>
    <row r="101" spans="1:30" ht="40.5" x14ac:dyDescent="0.25">
      <c r="A101" s="232" t="s">
        <v>542</v>
      </c>
      <c r="B101" s="232" t="s">
        <v>542</v>
      </c>
      <c r="C101" s="232" t="s">
        <v>550</v>
      </c>
      <c r="D101" s="232" t="s">
        <v>559</v>
      </c>
      <c r="E101" s="232" t="s">
        <v>543</v>
      </c>
      <c r="F101" s="232" t="s">
        <v>551</v>
      </c>
      <c r="G101" s="232" t="s">
        <v>100</v>
      </c>
      <c r="H101" s="232" t="s">
        <v>179</v>
      </c>
      <c r="I101" s="233" t="str">
        <f>CONCATENATE(Table_Query_from_MS_Access_Database_1[RTE],Table_Query_from_MS_Access_Database_1[SEC],Table_Query_from_MS_Access_Database_1[SEQ])</f>
        <v>GRI0TBD</v>
      </c>
      <c r="J101" s="234">
        <v>43646</v>
      </c>
      <c r="K101" s="234">
        <v>43641</v>
      </c>
      <c r="L101" s="234">
        <v>43641</v>
      </c>
      <c r="M101" s="234">
        <v>43668</v>
      </c>
      <c r="N101" s="235"/>
      <c r="O101" s="236"/>
      <c r="P101" s="236"/>
      <c r="Q101" s="236"/>
      <c r="R101" s="236"/>
      <c r="S101" s="236"/>
      <c r="T101" s="236">
        <v>1270000</v>
      </c>
      <c r="U101" s="236"/>
      <c r="V101" s="236"/>
      <c r="W101" s="236"/>
      <c r="X101" s="236"/>
      <c r="Y101" s="236"/>
      <c r="Z101" s="236"/>
      <c r="AA101" s="236"/>
      <c r="AB101" s="236"/>
      <c r="AC101" s="237">
        <f>SUM(Table_Query_from_MS_Access_Database_1[[#This Row],[HURF EX]:[TAP Flex]])</f>
        <v>1270000</v>
      </c>
      <c r="AD101" s="156">
        <f>AD100-Table_Query_from_MS_Access_Database_1[TOTAL OF AMOUNT]</f>
        <v>41812467.019999981</v>
      </c>
    </row>
    <row r="102" spans="1:30" x14ac:dyDescent="0.25">
      <c r="A102" s="232" t="s">
        <v>406</v>
      </c>
      <c r="B102" s="232" t="s">
        <v>508</v>
      </c>
      <c r="C102" s="232" t="s">
        <v>407</v>
      </c>
      <c r="D102" s="232" t="s">
        <v>8</v>
      </c>
      <c r="E102" s="232" t="s">
        <v>509</v>
      </c>
      <c r="F102" s="232" t="s">
        <v>408</v>
      </c>
      <c r="G102" s="232" t="s">
        <v>100</v>
      </c>
      <c r="H102" s="232" t="s">
        <v>409</v>
      </c>
      <c r="I102" s="233" t="str">
        <f>CONCATENATE(Table_Query_from_MS_Access_Database_1[RTE],Table_Query_from_MS_Access_Database_1[SEC],Table_Query_from_MS_Access_Database_1[SEQ])</f>
        <v>FL00201</v>
      </c>
      <c r="J102" s="234">
        <v>43586</v>
      </c>
      <c r="K102" s="234">
        <v>43664</v>
      </c>
      <c r="L102" s="234">
        <v>43664</v>
      </c>
      <c r="M102" s="234">
        <v>43669</v>
      </c>
      <c r="N102" s="235"/>
      <c r="O102" s="236"/>
      <c r="P102" s="236"/>
      <c r="Q102" s="236"/>
      <c r="R102" s="236"/>
      <c r="S102" s="236"/>
      <c r="T102" s="236"/>
      <c r="U102" s="236">
        <v>471500</v>
      </c>
      <c r="V102" s="236"/>
      <c r="W102" s="236"/>
      <c r="X102" s="236"/>
      <c r="Y102" s="236"/>
      <c r="Z102" s="236"/>
      <c r="AA102" s="236"/>
      <c r="AB102" s="236"/>
      <c r="AC102" s="237">
        <f>SUM(Table_Query_from_MS_Access_Database_1[[#This Row],[HURF EX]:[TAP Flex]])</f>
        <v>471500</v>
      </c>
      <c r="AD102" s="156">
        <f>AD101-Table_Query_from_MS_Access_Database_1[TOTAL OF AMOUNT]</f>
        <v>41340967.019999981</v>
      </c>
    </row>
    <row r="103" spans="1:30" x14ac:dyDescent="0.25">
      <c r="A103" s="232" t="s">
        <v>568</v>
      </c>
      <c r="B103" s="232" t="s">
        <v>569</v>
      </c>
      <c r="C103" s="232" t="s">
        <v>49</v>
      </c>
      <c r="D103" s="232" t="s">
        <v>8</v>
      </c>
      <c r="E103" s="232" t="s">
        <v>570</v>
      </c>
      <c r="F103" s="232" t="s">
        <v>49</v>
      </c>
      <c r="G103" s="232" t="s">
        <v>571</v>
      </c>
      <c r="H103" s="232" t="s">
        <v>572</v>
      </c>
      <c r="I103" s="233" t="str">
        <f>CONCATENATE(Table_Query_from_MS_Access_Database_1[RTE],Table_Query_from_MS_Access_Database_1[SEC],Table_Query_from_MS_Access_Database_1[SEQ])</f>
        <v>MAGC171</v>
      </c>
      <c r="J103" s="234">
        <v>43677</v>
      </c>
      <c r="K103" s="234">
        <v>43670</v>
      </c>
      <c r="L103" s="234">
        <v>43670</v>
      </c>
      <c r="M103" s="234">
        <v>43671</v>
      </c>
      <c r="N103" s="235"/>
      <c r="O103" s="236">
        <v>-565800</v>
      </c>
      <c r="P103" s="236"/>
      <c r="Q103" s="236"/>
      <c r="R103" s="236"/>
      <c r="S103" s="236"/>
      <c r="T103" s="236"/>
      <c r="U103" s="236"/>
      <c r="V103" s="236"/>
      <c r="W103" s="236"/>
      <c r="X103" s="236"/>
      <c r="Y103" s="236"/>
      <c r="Z103" s="236"/>
      <c r="AA103" s="236"/>
      <c r="AB103" s="236"/>
      <c r="AC103" s="237">
        <f>SUM(Table_Query_from_MS_Access_Database_1[[#This Row],[HURF EX]:[TAP Flex]])</f>
        <v>-565800</v>
      </c>
      <c r="AD103" s="156">
        <f>AD102-Table_Query_from_MS_Access_Database_1[TOTAL OF AMOUNT]</f>
        <v>41906767.019999981</v>
      </c>
    </row>
    <row r="104" spans="1:30" ht="27" x14ac:dyDescent="0.25">
      <c r="A104" s="232" t="s">
        <v>291</v>
      </c>
      <c r="B104" s="232" t="s">
        <v>292</v>
      </c>
      <c r="C104" s="232" t="s">
        <v>175</v>
      </c>
      <c r="D104" s="232" t="s">
        <v>7</v>
      </c>
      <c r="E104" s="232" t="s">
        <v>293</v>
      </c>
      <c r="F104" s="232" t="s">
        <v>176</v>
      </c>
      <c r="G104" s="232" t="s">
        <v>100</v>
      </c>
      <c r="H104" s="232" t="s">
        <v>294</v>
      </c>
      <c r="I104" s="233" t="str">
        <f>CONCATENATE(Table_Query_from_MS_Access_Database_1[RTE],Table_Query_from_MS_Access_Database_1[SEC],Table_Query_from_MS_Access_Database_1[SEQ])</f>
        <v>PPN0214</v>
      </c>
      <c r="J104" s="234">
        <v>43670</v>
      </c>
      <c r="K104" s="234">
        <v>43669</v>
      </c>
      <c r="L104" s="234">
        <v>43671</v>
      </c>
      <c r="M104" s="234">
        <v>43676</v>
      </c>
      <c r="N104" s="235"/>
      <c r="O104" s="236"/>
      <c r="P104" s="236"/>
      <c r="Q104" s="236"/>
      <c r="R104" s="236"/>
      <c r="S104" s="236"/>
      <c r="T104" s="236"/>
      <c r="U104" s="236">
        <v>1630060</v>
      </c>
      <c r="V104" s="236"/>
      <c r="W104" s="236"/>
      <c r="X104" s="236"/>
      <c r="Y104" s="236"/>
      <c r="Z104" s="236"/>
      <c r="AA104" s="236"/>
      <c r="AB104" s="236"/>
      <c r="AC104" s="237">
        <f>SUM(Table_Query_from_MS_Access_Database_1[[#This Row],[HURF EX]:[TAP Flex]])</f>
        <v>1630060</v>
      </c>
      <c r="AD104" s="156">
        <f>AD103-Table_Query_from_MS_Access_Database_1[TOTAL OF AMOUNT]</f>
        <v>40276707.019999981</v>
      </c>
    </row>
    <row r="105" spans="1:30" ht="27" x14ac:dyDescent="0.25">
      <c r="A105" s="232" t="s">
        <v>470</v>
      </c>
      <c r="B105" s="232" t="s">
        <v>391</v>
      </c>
      <c r="C105" s="232" t="s">
        <v>392</v>
      </c>
      <c r="D105" s="232" t="s">
        <v>7</v>
      </c>
      <c r="E105" s="232" t="s">
        <v>393</v>
      </c>
      <c r="F105" s="232" t="s">
        <v>394</v>
      </c>
      <c r="G105" s="232" t="s">
        <v>100</v>
      </c>
      <c r="H105" s="232" t="s">
        <v>573</v>
      </c>
      <c r="I105" s="233" t="str">
        <f>CONCATENATE(Table_Query_from_MS_Access_Database_1[RTE],Table_Query_from_MS_Access_Database_1[SEC],Table_Query_from_MS_Access_Database_1[SEQ])</f>
        <v>GUA0205</v>
      </c>
      <c r="J105" s="234">
        <v>43678</v>
      </c>
      <c r="K105" s="234">
        <v>43663</v>
      </c>
      <c r="L105" s="234">
        <v>43664</v>
      </c>
      <c r="M105" s="234">
        <v>43676</v>
      </c>
      <c r="N105" s="235"/>
      <c r="O105" s="236"/>
      <c r="P105" s="236"/>
      <c r="Q105" s="236"/>
      <c r="R105" s="236"/>
      <c r="S105" s="236"/>
      <c r="T105" s="236"/>
      <c r="U105" s="236"/>
      <c r="V105" s="236">
        <v>532795</v>
      </c>
      <c r="W105" s="236"/>
      <c r="X105" s="236"/>
      <c r="Y105" s="236"/>
      <c r="Z105" s="236"/>
      <c r="AA105" s="236"/>
      <c r="AB105" s="236"/>
      <c r="AC105" s="237">
        <f>SUM(Table_Query_from_MS_Access_Database_1[[#This Row],[HURF EX]:[TAP Flex]])</f>
        <v>532795</v>
      </c>
      <c r="AD105" s="156">
        <f>AD104-Table_Query_from_MS_Access_Database_1[TOTAL OF AMOUNT]</f>
        <v>39743912.019999981</v>
      </c>
    </row>
    <row r="106" spans="1:30" x14ac:dyDescent="0.25">
      <c r="A106" s="240" t="s">
        <v>563</v>
      </c>
      <c r="B106" s="240" t="s">
        <v>410</v>
      </c>
      <c r="C106" s="240" t="s">
        <v>186</v>
      </c>
      <c r="D106" s="240" t="s">
        <v>7</v>
      </c>
      <c r="E106" s="240" t="s">
        <v>411</v>
      </c>
      <c r="F106" s="240" t="s">
        <v>187</v>
      </c>
      <c r="G106" s="240" t="s">
        <v>100</v>
      </c>
      <c r="H106" s="240" t="s">
        <v>564</v>
      </c>
      <c r="I106" s="241" t="str">
        <f>CONCATENATE(Table_Query_from_MS_Access_Database_1[RTE],Table_Query_from_MS_Access_Database_1[SEC],Table_Query_from_MS_Access_Database_1[SEQ])</f>
        <v>PHX0360</v>
      </c>
      <c r="J106" s="242">
        <v>43556</v>
      </c>
      <c r="K106" s="242">
        <v>43669</v>
      </c>
      <c r="L106" s="242">
        <v>43671</v>
      </c>
      <c r="M106" s="242">
        <v>43677</v>
      </c>
      <c r="N106" s="243"/>
      <c r="O106" s="244">
        <v>903074</v>
      </c>
      <c r="P106" s="244"/>
      <c r="Q106" s="244"/>
      <c r="R106" s="244"/>
      <c r="S106" s="244"/>
      <c r="T106" s="244"/>
      <c r="U106" s="244"/>
      <c r="V106" s="244"/>
      <c r="W106" s="244"/>
      <c r="X106" s="244"/>
      <c r="Y106" s="244"/>
      <c r="Z106" s="244"/>
      <c r="AA106" s="244"/>
      <c r="AB106" s="244"/>
      <c r="AC106" s="245">
        <f>SUM(Table_Query_from_MS_Access_Database_1[[#This Row],[HURF EX]:[TAP Flex]])</f>
        <v>903074</v>
      </c>
      <c r="AD106" s="156">
        <f>AD105-Table_Query_from_MS_Access_Database_1[TOTAL OF AMOUNT]</f>
        <v>38840838.019999981</v>
      </c>
    </row>
    <row r="107" spans="1:30" ht="27" x14ac:dyDescent="0.25">
      <c r="A107" s="240" t="s">
        <v>310</v>
      </c>
      <c r="B107" s="240" t="s">
        <v>429</v>
      </c>
      <c r="C107" s="240" t="s">
        <v>311</v>
      </c>
      <c r="D107" s="240" t="s">
        <v>21</v>
      </c>
      <c r="E107" s="240" t="s">
        <v>312</v>
      </c>
      <c r="F107" s="240" t="s">
        <v>313</v>
      </c>
      <c r="G107" s="240" t="s">
        <v>100</v>
      </c>
      <c r="H107" s="240" t="s">
        <v>192</v>
      </c>
      <c r="I107" s="241" t="str">
        <f>CONCATENATE(Table_Query_from_MS_Access_Database_1[RTE],Table_Query_from_MS_Access_Database_1[SEC],Table_Query_from_MS_Access_Database_1[SEQ])</f>
        <v>PVY0204</v>
      </c>
      <c r="J107" s="242"/>
      <c r="K107" s="242">
        <v>43670</v>
      </c>
      <c r="L107" s="242">
        <v>43676</v>
      </c>
      <c r="M107" s="242">
        <v>43677</v>
      </c>
      <c r="N107" s="243"/>
      <c r="O107" s="244">
        <v>26677</v>
      </c>
      <c r="P107" s="244"/>
      <c r="Q107" s="244"/>
      <c r="R107" s="244"/>
      <c r="S107" s="244"/>
      <c r="T107" s="244"/>
      <c r="U107" s="244"/>
      <c r="V107" s="244"/>
      <c r="W107" s="244"/>
      <c r="X107" s="244"/>
      <c r="Y107" s="244"/>
      <c r="Z107" s="244"/>
      <c r="AA107" s="244"/>
      <c r="AB107" s="244"/>
      <c r="AC107" s="245">
        <f>SUM(Table_Query_from_MS_Access_Database_1[[#This Row],[HURF EX]:[TAP Flex]])</f>
        <v>26677</v>
      </c>
      <c r="AD107" s="156">
        <f>AD106-Table_Query_from_MS_Access_Database_1[TOTAL OF AMOUNT]</f>
        <v>38814161.019999981</v>
      </c>
    </row>
    <row r="108" spans="1:30" x14ac:dyDescent="0.25">
      <c r="A108" s="240" t="s">
        <v>581</v>
      </c>
      <c r="B108" s="240" t="s">
        <v>582</v>
      </c>
      <c r="C108" s="240" t="s">
        <v>407</v>
      </c>
      <c r="D108" s="240" t="s">
        <v>7</v>
      </c>
      <c r="E108" s="240" t="s">
        <v>583</v>
      </c>
      <c r="F108" s="240" t="s">
        <v>408</v>
      </c>
      <c r="G108" s="240" t="s">
        <v>100</v>
      </c>
      <c r="H108" s="240" t="s">
        <v>409</v>
      </c>
      <c r="I108" s="241" t="str">
        <f>CONCATENATE(Table_Query_from_MS_Access_Database_1[RTE],Table_Query_from_MS_Access_Database_1[SEC],Table_Query_from_MS_Access_Database_1[SEQ])</f>
        <v>FL00201</v>
      </c>
      <c r="J108" s="242"/>
      <c r="K108" s="242">
        <v>43683</v>
      </c>
      <c r="L108" s="242">
        <v>43685</v>
      </c>
      <c r="M108" s="242">
        <v>43686</v>
      </c>
      <c r="N108" s="243"/>
      <c r="O108" s="244"/>
      <c r="P108" s="244"/>
      <c r="Q108" s="244"/>
      <c r="R108" s="244"/>
      <c r="S108" s="244"/>
      <c r="T108" s="244"/>
      <c r="U108" s="244"/>
      <c r="V108" s="244"/>
      <c r="W108" s="244">
        <v>235750</v>
      </c>
      <c r="X108" s="244"/>
      <c r="Y108" s="244"/>
      <c r="Z108" s="244"/>
      <c r="AA108" s="244"/>
      <c r="AB108" s="244"/>
      <c r="AC108" s="245">
        <f>SUM(Table_Query_from_MS_Access_Database_1[[#This Row],[HURF EX]:[TAP Flex]])</f>
        <v>235750</v>
      </c>
      <c r="AD108" s="156">
        <f>AD107-Table_Query_from_MS_Access_Database_1[TOTAL OF AMOUNT]</f>
        <v>38578411.019999981</v>
      </c>
    </row>
    <row r="109" spans="1:30" x14ac:dyDescent="0.25">
      <c r="A109" s="91" t="s">
        <v>545</v>
      </c>
      <c r="B109" s="91" t="s">
        <v>546</v>
      </c>
      <c r="C109" s="91" t="s">
        <v>193</v>
      </c>
      <c r="D109" s="91" t="s">
        <v>21</v>
      </c>
      <c r="E109" s="91" t="s">
        <v>421</v>
      </c>
      <c r="F109" s="91" t="s">
        <v>194</v>
      </c>
      <c r="G109" s="91" t="s">
        <v>100</v>
      </c>
      <c r="H109" s="91" t="s">
        <v>422</v>
      </c>
      <c r="I109" s="193" t="str">
        <f>CONCATENATE(Table_Query_from_MS_Access_Database_1[RTE],Table_Query_from_MS_Access_Database_1[SEC],Table_Query_from_MS_Access_Database_1[SEQ])</f>
        <v>TMP0247</v>
      </c>
      <c r="J109" s="167">
        <v>43678</v>
      </c>
      <c r="K109" s="167">
        <v>43679</v>
      </c>
      <c r="L109" s="159">
        <v>43690</v>
      </c>
      <c r="M109" s="159">
        <v>43692</v>
      </c>
      <c r="N109" s="159"/>
      <c r="O109" s="156"/>
      <c r="P109" s="156"/>
      <c r="Q109" s="156">
        <v>124300</v>
      </c>
      <c r="R109" s="156"/>
      <c r="S109" s="156"/>
      <c r="T109" s="156"/>
      <c r="U109" s="156"/>
      <c r="V109" s="156"/>
      <c r="W109" s="156"/>
      <c r="X109" s="156"/>
      <c r="Y109" s="156"/>
      <c r="Z109" s="156"/>
      <c r="AA109" s="156"/>
      <c r="AB109" s="156"/>
      <c r="AC109" s="156">
        <f>SUM(Table_Query_from_MS_Access_Database_1[[#This Row],[HURF EX]:[TAP Flex]])</f>
        <v>124300</v>
      </c>
      <c r="AD109" s="156">
        <f>AD108-Table_Query_from_MS_Access_Database_1[TOTAL OF AMOUNT]</f>
        <v>38454111.019999981</v>
      </c>
    </row>
    <row r="110" spans="1:30" ht="40.5" x14ac:dyDescent="0.25">
      <c r="A110" s="91" t="s">
        <v>574</v>
      </c>
      <c r="B110" s="91" t="s">
        <v>575</v>
      </c>
      <c r="C110" s="91" t="s">
        <v>462</v>
      </c>
      <c r="D110" s="91" t="s">
        <v>559</v>
      </c>
      <c r="E110" s="91" t="s">
        <v>576</v>
      </c>
      <c r="F110" s="91" t="s">
        <v>464</v>
      </c>
      <c r="G110" s="91" t="s">
        <v>100</v>
      </c>
      <c r="H110" s="91" t="s">
        <v>577</v>
      </c>
      <c r="I110" s="222" t="str">
        <f>CONCATENATE(Table_Query_from_MS_Access_Database_1[RTE],Table_Query_from_MS_Access_Database_1[SEC],Table_Query_from_MS_Access_Database_1[SEQ])</f>
        <v>SRI0TRA</v>
      </c>
      <c r="J110" s="167"/>
      <c r="K110" s="167">
        <v>43683</v>
      </c>
      <c r="L110" s="167">
        <v>43683</v>
      </c>
      <c r="M110" s="167">
        <v>43693</v>
      </c>
      <c r="N110" s="223"/>
      <c r="O110" s="138">
        <v>221510</v>
      </c>
      <c r="P110" s="138"/>
      <c r="Q110" s="138"/>
      <c r="R110" s="138"/>
      <c r="S110" s="138"/>
      <c r="T110" s="138"/>
      <c r="U110" s="138"/>
      <c r="V110" s="138"/>
      <c r="W110" s="138"/>
      <c r="X110" s="138"/>
      <c r="Y110" s="138"/>
      <c r="Z110" s="138"/>
      <c r="AA110" s="138"/>
      <c r="AB110" s="138"/>
      <c r="AC110" s="156">
        <f>SUM(Table_Query_from_MS_Access_Database_1[[#This Row],[HURF EX]:[TAP Flex]])</f>
        <v>221510</v>
      </c>
      <c r="AD110" s="156">
        <f>AD109-Table_Query_from_MS_Access_Database_1[TOTAL OF AMOUNT]</f>
        <v>38232601.019999981</v>
      </c>
    </row>
    <row r="111" spans="1:30" x14ac:dyDescent="0.25">
      <c r="A111" s="240" t="s">
        <v>510</v>
      </c>
      <c r="B111" s="240"/>
      <c r="C111" s="240" t="s">
        <v>49</v>
      </c>
      <c r="D111" s="240" t="s">
        <v>8</v>
      </c>
      <c r="E111" s="240" t="s">
        <v>511</v>
      </c>
      <c r="F111" s="240" t="s">
        <v>49</v>
      </c>
      <c r="G111" s="240" t="s">
        <v>198</v>
      </c>
      <c r="H111" s="240" t="s">
        <v>273</v>
      </c>
      <c r="I111" s="241" t="str">
        <f>CONCATENATE(Table_Query_from_MS_Access_Database_1[RTE],Table_Query_from_MS_Access_Database_1[SEC],Table_Query_from_MS_Access_Database_1[SEQ])</f>
        <v>MAGA019</v>
      </c>
      <c r="J111" s="242"/>
      <c r="K111" s="242">
        <v>43698</v>
      </c>
      <c r="L111" s="242">
        <v>43698</v>
      </c>
      <c r="M111" s="242">
        <v>43700</v>
      </c>
      <c r="N111" s="243"/>
      <c r="O111" s="244"/>
      <c r="P111" s="244"/>
      <c r="Q111" s="244"/>
      <c r="R111" s="244"/>
      <c r="S111" s="244"/>
      <c r="T111" s="244"/>
      <c r="U111" s="244"/>
      <c r="V111" s="244"/>
      <c r="W111" s="244"/>
      <c r="X111" s="244"/>
      <c r="Y111" s="244"/>
      <c r="Z111" s="244"/>
      <c r="AA111" s="244">
        <v>-400000</v>
      </c>
      <c r="AB111" s="244"/>
      <c r="AC111" s="245">
        <f>SUM(Table_Query_from_MS_Access_Database_1[[#This Row],[HURF EX]:[TAP Flex]])</f>
        <v>-400000</v>
      </c>
      <c r="AD111" s="156">
        <f>AD110-Table_Query_from_MS_Access_Database_1[TOTAL OF AMOUNT]</f>
        <v>38632601.019999981</v>
      </c>
    </row>
    <row r="112" spans="1:30" ht="27" x14ac:dyDescent="0.25">
      <c r="A112" s="240" t="s">
        <v>441</v>
      </c>
      <c r="B112" s="240" t="s">
        <v>442</v>
      </c>
      <c r="C112" s="240" t="s">
        <v>175</v>
      </c>
      <c r="D112" s="240" t="s">
        <v>8</v>
      </c>
      <c r="E112" s="240" t="s">
        <v>443</v>
      </c>
      <c r="F112" s="240" t="s">
        <v>176</v>
      </c>
      <c r="G112" s="240" t="s">
        <v>100</v>
      </c>
      <c r="H112" s="240" t="s">
        <v>444</v>
      </c>
      <c r="I112" s="241" t="str">
        <f>CONCATENATE(Table_Query_from_MS_Access_Database_1[RTE],Table_Query_from_MS_Access_Database_1[SEC],Table_Query_from_MS_Access_Database_1[SEQ])</f>
        <v>PPN0218</v>
      </c>
      <c r="J112" s="242"/>
      <c r="K112" s="242">
        <v>43698</v>
      </c>
      <c r="L112" s="242">
        <v>43698</v>
      </c>
      <c r="M112" s="242">
        <v>43706</v>
      </c>
      <c r="N112" s="243"/>
      <c r="O112" s="244">
        <v>18751</v>
      </c>
      <c r="P112" s="244">
        <v>-18751</v>
      </c>
      <c r="Q112" s="244"/>
      <c r="R112" s="244"/>
      <c r="S112" s="244"/>
      <c r="T112" s="244"/>
      <c r="U112" s="244"/>
      <c r="V112" s="244"/>
      <c r="W112" s="244"/>
      <c r="X112" s="244"/>
      <c r="Y112" s="244"/>
      <c r="Z112" s="244"/>
      <c r="AA112" s="244"/>
      <c r="AB112" s="244"/>
      <c r="AC112" s="245">
        <f>SUM(Table_Query_from_MS_Access_Database_1[[#This Row],[HURF EX]:[TAP Flex]])</f>
        <v>0</v>
      </c>
      <c r="AD112" s="156">
        <f>AD111-Table_Query_from_MS_Access_Database_1[TOTAL OF AMOUNT]</f>
        <v>38632601.019999981</v>
      </c>
    </row>
    <row r="113" spans="1:30" ht="27" x14ac:dyDescent="0.25">
      <c r="A113" s="240" t="s">
        <v>445</v>
      </c>
      <c r="B113" s="240" t="s">
        <v>442</v>
      </c>
      <c r="C113" s="240" t="s">
        <v>175</v>
      </c>
      <c r="D113" s="240" t="s">
        <v>8</v>
      </c>
      <c r="E113" s="240" t="s">
        <v>443</v>
      </c>
      <c r="F113" s="240" t="s">
        <v>176</v>
      </c>
      <c r="G113" s="240" t="s">
        <v>100</v>
      </c>
      <c r="H113" s="240" t="s">
        <v>444</v>
      </c>
      <c r="I113" s="241" t="str">
        <f>CONCATENATE(Table_Query_from_MS_Access_Database_1[RTE],Table_Query_from_MS_Access_Database_1[SEC],Table_Query_from_MS_Access_Database_1[SEQ])</f>
        <v>PPN0218</v>
      </c>
      <c r="J113" s="242"/>
      <c r="K113" s="242">
        <v>43698</v>
      </c>
      <c r="L113" s="242">
        <v>43698</v>
      </c>
      <c r="M113" s="242">
        <v>43706</v>
      </c>
      <c r="N113" s="243"/>
      <c r="O113" s="244">
        <v>320729</v>
      </c>
      <c r="P113" s="244">
        <v>-320729</v>
      </c>
      <c r="Q113" s="244"/>
      <c r="R113" s="244"/>
      <c r="S113" s="244"/>
      <c r="T113" s="244"/>
      <c r="U113" s="244"/>
      <c r="V113" s="244"/>
      <c r="W113" s="244"/>
      <c r="X113" s="244"/>
      <c r="Y113" s="244"/>
      <c r="Z113" s="244"/>
      <c r="AA113" s="244"/>
      <c r="AB113" s="244"/>
      <c r="AC113" s="245">
        <f>SUM(Table_Query_from_MS_Access_Database_1[[#This Row],[HURF EX]:[TAP Flex]])</f>
        <v>0</v>
      </c>
      <c r="AD113" s="156">
        <f>AD112-Table_Query_from_MS_Access_Database_1[TOTAL OF AMOUNT]</f>
        <v>38632601.019999981</v>
      </c>
    </row>
    <row r="114" spans="1:30" ht="27" x14ac:dyDescent="0.25">
      <c r="A114" s="240" t="s">
        <v>425</v>
      </c>
      <c r="B114" s="240" t="s">
        <v>426</v>
      </c>
      <c r="C114" s="240" t="s">
        <v>162</v>
      </c>
      <c r="D114" s="240" t="s">
        <v>21</v>
      </c>
      <c r="E114" s="240" t="s">
        <v>427</v>
      </c>
      <c r="F114" s="240" t="s">
        <v>163</v>
      </c>
      <c r="G114" s="240" t="s">
        <v>100</v>
      </c>
      <c r="H114" s="240" t="s">
        <v>428</v>
      </c>
      <c r="I114" s="241" t="str">
        <f>CONCATENATE(Table_Query_from_MS_Access_Database_1[RTE],Table_Query_from_MS_Access_Database_1[SEC],Table_Query_from_MS_Access_Database_1[SEQ])</f>
        <v>GLN0257</v>
      </c>
      <c r="J114" s="242"/>
      <c r="K114" s="242">
        <v>43703</v>
      </c>
      <c r="L114" s="242">
        <v>43706</v>
      </c>
      <c r="M114" s="242">
        <v>43712</v>
      </c>
      <c r="N114" s="243"/>
      <c r="O114" s="244"/>
      <c r="P114" s="244"/>
      <c r="Q114" s="244"/>
      <c r="R114" s="244"/>
      <c r="S114" s="244"/>
      <c r="T114" s="244"/>
      <c r="U114" s="244"/>
      <c r="V114" s="244">
        <v>-144130</v>
      </c>
      <c r="W114" s="244"/>
      <c r="X114" s="244"/>
      <c r="Y114" s="244"/>
      <c r="Z114" s="244"/>
      <c r="AA114" s="244"/>
      <c r="AB114" s="244"/>
      <c r="AC114" s="245">
        <f>SUM(Table_Query_from_MS_Access_Database_1[[#This Row],[HURF EX]:[TAP Flex]])</f>
        <v>-144130</v>
      </c>
      <c r="AD114" s="156">
        <f>AD113-Table_Query_from_MS_Access_Database_1[TOTAL OF AMOUNT]</f>
        <v>38776731.019999981</v>
      </c>
    </row>
    <row r="115" spans="1:30" x14ac:dyDescent="0.25">
      <c r="A115" s="240" t="s">
        <v>578</v>
      </c>
      <c r="B115" s="240" t="s">
        <v>579</v>
      </c>
      <c r="C115" s="240" t="s">
        <v>188</v>
      </c>
      <c r="D115" s="240" t="s">
        <v>7</v>
      </c>
      <c r="E115" s="240" t="s">
        <v>580</v>
      </c>
      <c r="F115" s="240" t="s">
        <v>189</v>
      </c>
      <c r="G115" s="240" t="s">
        <v>100</v>
      </c>
      <c r="H115" s="240" t="s">
        <v>538</v>
      </c>
      <c r="I115" s="241" t="str">
        <f>CONCATENATE(Table_Query_from_MS_Access_Database_1[RTE],Table_Query_from_MS_Access_Database_1[SEC],Table_Query_from_MS_Access_Database_1[SEQ])</f>
        <v>SCT0234</v>
      </c>
      <c r="J115" s="242">
        <v>43831</v>
      </c>
      <c r="K115" s="242">
        <v>43693</v>
      </c>
      <c r="L115" s="242">
        <v>43699</v>
      </c>
      <c r="M115" s="242">
        <v>43712</v>
      </c>
      <c r="N115" s="243"/>
      <c r="O115" s="244"/>
      <c r="P115" s="244"/>
      <c r="Q115" s="244"/>
      <c r="R115" s="244"/>
      <c r="S115" s="244"/>
      <c r="T115" s="244"/>
      <c r="U115" s="244"/>
      <c r="V115" s="244"/>
      <c r="W115" s="244"/>
      <c r="X115" s="244"/>
      <c r="Y115" s="244"/>
      <c r="Z115" s="244"/>
      <c r="AA115" s="244">
        <v>47149</v>
      </c>
      <c r="AB115" s="244"/>
      <c r="AC115" s="245">
        <f>SUM(Table_Query_from_MS_Access_Database_1[[#This Row],[HURF EX]:[TAP Flex]])</f>
        <v>47149</v>
      </c>
      <c r="AD115" s="156">
        <f>AD114-Table_Query_from_MS_Access_Database_1[TOTAL OF AMOUNT]</f>
        <v>38729582.019999981</v>
      </c>
    </row>
    <row r="116" spans="1:30" x14ac:dyDescent="0.25">
      <c r="A116" s="92"/>
      <c r="B116" s="93"/>
      <c r="C116" s="93"/>
      <c r="D116" s="93"/>
      <c r="E116" s="94"/>
      <c r="F116" s="94"/>
      <c r="G116" s="94"/>
      <c r="H116" s="94"/>
      <c r="I116" s="94"/>
      <c r="J116" s="95"/>
      <c r="K116" s="95"/>
      <c r="L116" s="95"/>
      <c r="M116" s="157" t="s">
        <v>80</v>
      </c>
      <c r="N116" s="160">
        <f>+SUM(Table_Query_from_MS_Access_Database_1[[#All],[HURF EX]])</f>
        <v>0</v>
      </c>
      <c r="O116" s="160">
        <f>+SUM(Table_Query_from_MS_Access_Database_1[[#All],[CMAQ]])</f>
        <v>41254935.290000007</v>
      </c>
      <c r="P116" s="160">
        <f>+SUM(Table_Query_from_MS_Access_Database_1[[#All],[CMAQ 2_5]])</f>
        <v>562873</v>
      </c>
      <c r="Q116" s="160">
        <f>+SUM(Table_Query_from_MS_Access_Database_1[[#All],[HSIP]])</f>
        <v>-141019.81</v>
      </c>
      <c r="R116" s="160">
        <f>+SUM(Table_Query_from_MS_Access_Database_1[[#All],[PL]])</f>
        <v>4216991</v>
      </c>
      <c r="S116" s="160">
        <f>+SUM(Table_Query_from_MS_Access_Database_1[[#All],[SPR]])</f>
        <v>1250000</v>
      </c>
      <c r="T116" s="160">
        <f>+SUM(Table_Query_from_MS_Access_Database_1[[#All],[STP &lt;5]])</f>
        <v>1565841</v>
      </c>
      <c r="U116" s="160">
        <f>+SUM(Table_Query_from_MS_Access_Database_1[[#All],[STP 5-200]])</f>
        <v>2909180</v>
      </c>
      <c r="V116" s="160">
        <f>+SUM(Table_Query_from_MS_Access_Database_1[[#All],[STP OVER 200K]])</f>
        <v>52999122</v>
      </c>
      <c r="W116" s="160">
        <f>+SUM(Table_Query_from_MS_Access_Database_1[[#All],[STP OTHER]])</f>
        <v>235750</v>
      </c>
      <c r="X116" s="160">
        <f>+SUM(Table_Query_from_MS_Access_Database_1[[#All],[HIP &gt;200]])</f>
        <v>0</v>
      </c>
      <c r="Y116" s="160">
        <f>+SUM(Table_Query_from_MS_Access_Database_1[[#All],[TAP &lt;5]])</f>
        <v>94296</v>
      </c>
      <c r="Z116" s="160">
        <f>+SUM(Table_Query_from_MS_Access_Database_1[[#All],[TAP 5-200]])</f>
        <v>190486</v>
      </c>
      <c r="AA116" s="160">
        <f>+SUM(Table_Query_from_MS_Access_Database_1[[#All],[TA OVER 200K]])</f>
        <v>1020754</v>
      </c>
      <c r="AB116" s="160">
        <f>+SUM(Table_Query_from_MS_Access_Database_1[[#All],[TAP Flex]])</f>
        <v>0</v>
      </c>
      <c r="AC116" s="160">
        <f>SUM(N116:AB116)</f>
        <v>106159208.48</v>
      </c>
      <c r="AD116" s="168"/>
    </row>
    <row r="117" spans="1:30" ht="27.75" thickBot="1" x14ac:dyDescent="0.3">
      <c r="A117" s="92"/>
      <c r="B117" s="93"/>
      <c r="C117" s="93"/>
      <c r="D117" s="93"/>
      <c r="E117" s="94"/>
      <c r="F117" s="94"/>
      <c r="G117" s="94"/>
      <c r="H117" s="94"/>
      <c r="I117" s="94"/>
      <c r="J117" s="95"/>
      <c r="K117" s="95"/>
      <c r="L117" s="95"/>
      <c r="M117" s="158" t="s">
        <v>79</v>
      </c>
      <c r="N117" s="161">
        <f>+N14-N116</f>
        <v>0</v>
      </c>
      <c r="O117" s="161">
        <f>+O14-O116</f>
        <v>10747055.349999994</v>
      </c>
      <c r="P117" s="161">
        <f>+P14-P116</f>
        <v>161344</v>
      </c>
      <c r="Q117" s="161">
        <f>+Q14-Q116</f>
        <v>141019.81</v>
      </c>
      <c r="R117" s="161">
        <f>+R14-R116</f>
        <v>21138</v>
      </c>
      <c r="S117" s="161">
        <f>+S14-S116</f>
        <v>0</v>
      </c>
      <c r="T117" s="161">
        <f>+T14-T116</f>
        <v>-345173</v>
      </c>
      <c r="U117" s="161">
        <f>+U14-U116</f>
        <v>-305407</v>
      </c>
      <c r="V117" s="161">
        <f>+V14-V116</f>
        <v>54607337.819999993</v>
      </c>
      <c r="W117" s="161">
        <f>+W14-W116</f>
        <v>-235750</v>
      </c>
      <c r="X117" s="161">
        <f>+X14-X116</f>
        <v>26700656</v>
      </c>
      <c r="Y117" s="161">
        <f>+Y14-Y116</f>
        <v>59443</v>
      </c>
      <c r="Z117" s="161">
        <f>+Z14-Z116</f>
        <v>158682</v>
      </c>
      <c r="AA117" s="161">
        <f>+AA14-AA116</f>
        <v>9859485.1900000013</v>
      </c>
      <c r="AB117" s="161">
        <f>+AB14-AB116</f>
        <v>0</v>
      </c>
      <c r="AC117" s="161">
        <f>+AC14-AC116</f>
        <v>101569831.17</v>
      </c>
      <c r="AD117" s="168"/>
    </row>
    <row r="118" spans="1:30" x14ac:dyDescent="0.25">
      <c r="A118" s="69"/>
      <c r="B118" s="70"/>
      <c r="C118" s="70"/>
      <c r="D118" s="70"/>
      <c r="E118" s="187"/>
      <c r="F118" s="71"/>
      <c r="G118" s="71"/>
      <c r="H118" s="71"/>
      <c r="I118" s="187"/>
      <c r="J118" s="72"/>
      <c r="K118" s="72"/>
      <c r="L118" s="72"/>
      <c r="M118" s="75"/>
      <c r="N118" s="76"/>
      <c r="O118" s="76"/>
      <c r="P118" s="76"/>
      <c r="Q118" s="76"/>
      <c r="R118" s="76"/>
      <c r="S118" s="38"/>
      <c r="T118" s="77"/>
      <c r="U118" s="59"/>
      <c r="V118" s="59"/>
      <c r="W118" s="59"/>
      <c r="X118" s="59"/>
      <c r="Y118" s="90"/>
      <c r="Z118" s="47"/>
      <c r="AA118" s="47"/>
      <c r="AB118" s="47"/>
      <c r="AC118" s="90"/>
    </row>
    <row r="119" spans="1:30" ht="17.25" x14ac:dyDescent="0.25">
      <c r="A119" s="246" t="s">
        <v>36</v>
      </c>
      <c r="B119" s="246"/>
      <c r="C119" s="246"/>
      <c r="D119" s="246"/>
      <c r="E119" s="48"/>
      <c r="F119" s="48"/>
      <c r="G119" s="69"/>
      <c r="H119" s="69"/>
      <c r="I119" s="69"/>
      <c r="J119" s="79"/>
      <c r="K119" s="79"/>
      <c r="L119" s="79"/>
      <c r="M119" s="79"/>
      <c r="N119" s="42"/>
      <c r="O119" s="42"/>
      <c r="P119" s="42"/>
      <c r="Q119" s="174"/>
      <c r="R119" s="78"/>
      <c r="S119" s="42"/>
      <c r="T119" s="46"/>
      <c r="U119" s="46"/>
      <c r="V119" s="59"/>
      <c r="W119" s="46"/>
      <c r="X119" s="45"/>
      <c r="Y119" s="90"/>
      <c r="Z119" s="47"/>
      <c r="AA119" s="47"/>
      <c r="AB119" s="47"/>
      <c r="AC119" s="90"/>
    </row>
    <row r="120" spans="1:30" ht="40.5" x14ac:dyDescent="0.25">
      <c r="A120" s="77" t="s">
        <v>1</v>
      </c>
      <c r="B120" s="77" t="s">
        <v>0</v>
      </c>
      <c r="C120" s="77" t="s">
        <v>3</v>
      </c>
      <c r="D120" s="77" t="s">
        <v>88</v>
      </c>
      <c r="E120" s="77" t="s">
        <v>2</v>
      </c>
      <c r="F120" s="77" t="s">
        <v>50</v>
      </c>
      <c r="G120" s="77" t="s">
        <v>51</v>
      </c>
      <c r="H120" s="77" t="s">
        <v>52</v>
      </c>
      <c r="I120" s="77" t="s">
        <v>222</v>
      </c>
      <c r="J120" s="77" t="s">
        <v>53</v>
      </c>
      <c r="K120" s="77" t="s">
        <v>54</v>
      </c>
      <c r="L120" s="77" t="s">
        <v>55</v>
      </c>
      <c r="M120" s="77" t="s">
        <v>56</v>
      </c>
      <c r="N120" s="77" t="s">
        <v>257</v>
      </c>
      <c r="O120" s="77" t="s">
        <v>43</v>
      </c>
      <c r="P120" s="77" t="s">
        <v>44</v>
      </c>
      <c r="Q120" s="80" t="s">
        <v>4</v>
      </c>
      <c r="R120" s="81" t="s">
        <v>45</v>
      </c>
      <c r="S120" s="81" t="s">
        <v>5</v>
      </c>
      <c r="T120" s="81" t="s">
        <v>218</v>
      </c>
      <c r="U120" s="82" t="s">
        <v>253</v>
      </c>
      <c r="V120" s="82" t="s">
        <v>98</v>
      </c>
      <c r="W120" s="82" t="s">
        <v>57</v>
      </c>
      <c r="X120" s="82" t="s">
        <v>485</v>
      </c>
      <c r="Y120" s="82" t="s">
        <v>220</v>
      </c>
      <c r="Z120" s="82" t="s">
        <v>254</v>
      </c>
      <c r="AA120" s="82" t="s">
        <v>99</v>
      </c>
      <c r="AB120" s="82" t="s">
        <v>233</v>
      </c>
      <c r="AC120" s="82" t="s">
        <v>91</v>
      </c>
      <c r="AD120" s="82" t="s">
        <v>58</v>
      </c>
    </row>
    <row r="121" spans="1:30" ht="27" x14ac:dyDescent="0.25">
      <c r="A121" s="139" t="s">
        <v>585</v>
      </c>
      <c r="B121" s="119" t="s">
        <v>586</v>
      </c>
      <c r="C121" s="119" t="s">
        <v>226</v>
      </c>
      <c r="D121" s="119" t="s">
        <v>22</v>
      </c>
      <c r="E121" s="119" t="s">
        <v>587</v>
      </c>
      <c r="F121" s="119" t="s">
        <v>588</v>
      </c>
      <c r="G121" s="119" t="s">
        <v>476</v>
      </c>
      <c r="H121" s="119" t="s">
        <v>346</v>
      </c>
      <c r="I121" s="169" t="str">
        <f>CONCATENATE(Table_Query_from_MS_Access_Database_2[RTE],Table_Query_from_MS_Access_Database_2[SEC],Table_Query_from_MS_Access_Database_2[SEQ])</f>
        <v>101B213</v>
      </c>
      <c r="J121" s="196">
        <v>43721</v>
      </c>
      <c r="K121" s="162"/>
      <c r="L121" s="162"/>
      <c r="M121" s="162"/>
      <c r="N121" s="199"/>
      <c r="O121" s="199"/>
      <c r="P121" s="156"/>
      <c r="Q121" s="156"/>
      <c r="R121" s="156"/>
      <c r="S121" s="156"/>
      <c r="T121" s="156"/>
      <c r="U121" s="156"/>
      <c r="V121" s="156">
        <v>1602430</v>
      </c>
      <c r="W121" s="156"/>
      <c r="X121" s="156"/>
      <c r="Y121" s="156"/>
      <c r="Z121" s="156"/>
      <c r="AA121" s="156"/>
      <c r="AB121" s="156"/>
      <c r="AC121" s="156">
        <f>SUM(Table_Query_from_MS_Access_Database_2[[#This Row],[HURF EX]:[TAP Flex]])</f>
        <v>1602430</v>
      </c>
      <c r="AD121" s="155">
        <f>AD115-Table_Query_from_MS_Access_Database_2[TOTAL OF AMOUNT]</f>
        <v>37127152.019999981</v>
      </c>
    </row>
    <row r="122" spans="1:30" ht="27" x14ac:dyDescent="0.25">
      <c r="A122" s="139" t="s">
        <v>423</v>
      </c>
      <c r="B122" s="119" t="s">
        <v>480</v>
      </c>
      <c r="C122" s="119" t="s">
        <v>417</v>
      </c>
      <c r="D122" s="119" t="s">
        <v>7</v>
      </c>
      <c r="E122" s="119" t="s">
        <v>424</v>
      </c>
      <c r="F122" s="119" t="s">
        <v>419</v>
      </c>
      <c r="G122" s="119" t="s">
        <v>100</v>
      </c>
      <c r="H122" s="119" t="s">
        <v>294</v>
      </c>
      <c r="I122" s="169" t="str">
        <f>CONCATENATE(Table_Query_from_MS_Access_Database_2[RTE],Table_Query_from_MS_Access_Database_2[SEC],Table_Query_from_MS_Access_Database_2[SEQ])</f>
        <v>APJ0214</v>
      </c>
      <c r="J122" s="196">
        <v>43693</v>
      </c>
      <c r="K122" s="162">
        <v>43699</v>
      </c>
      <c r="L122" s="162">
        <v>43712</v>
      </c>
      <c r="M122" s="162"/>
      <c r="N122" s="199"/>
      <c r="O122" s="199"/>
      <c r="P122" s="156"/>
      <c r="Q122" s="156"/>
      <c r="R122" s="156"/>
      <c r="S122" s="156"/>
      <c r="T122" s="156"/>
      <c r="U122" s="156"/>
      <c r="V122" s="156">
        <v>2157890</v>
      </c>
      <c r="W122" s="156"/>
      <c r="X122" s="156"/>
      <c r="Y122" s="156"/>
      <c r="Z122" s="156"/>
      <c r="AA122" s="156"/>
      <c r="AB122" s="156"/>
      <c r="AC122" s="156">
        <f>SUM(Table_Query_from_MS_Access_Database_2[[#This Row],[HURF EX]:[TAP Flex]])</f>
        <v>2157890</v>
      </c>
      <c r="AD122" s="155">
        <f>AD121-Table_Query_from_MS_Access_Database_2[TOTAL OF AMOUNT]</f>
        <v>34969262.019999981</v>
      </c>
    </row>
    <row r="123" spans="1:30" ht="27" x14ac:dyDescent="0.25">
      <c r="A123" s="139" t="s">
        <v>285</v>
      </c>
      <c r="B123" s="130" t="s">
        <v>400</v>
      </c>
      <c r="C123" s="130" t="s">
        <v>195</v>
      </c>
      <c r="D123" s="130" t="s">
        <v>7</v>
      </c>
      <c r="E123" s="130" t="s">
        <v>286</v>
      </c>
      <c r="F123" s="130" t="s">
        <v>196</v>
      </c>
      <c r="G123" s="130" t="s">
        <v>100</v>
      </c>
      <c r="H123" s="130" t="s">
        <v>287</v>
      </c>
      <c r="I123" s="170" t="str">
        <f>CONCATENATE(Table_Query_from_MS_Access_Database_2[RTE],Table_Query_from_MS_Access_Database_2[SEC],Table_Query_from_MS_Access_Database_2[SEQ])</f>
        <v>AVN0221</v>
      </c>
      <c r="J123" s="197">
        <v>43678</v>
      </c>
      <c r="K123" s="163">
        <v>43713</v>
      </c>
      <c r="L123" s="163"/>
      <c r="M123" s="163"/>
      <c r="N123" s="200"/>
      <c r="O123" s="200"/>
      <c r="P123" s="156"/>
      <c r="Q123" s="156"/>
      <c r="R123" s="156"/>
      <c r="S123" s="156"/>
      <c r="T123" s="156"/>
      <c r="U123" s="156"/>
      <c r="V123" s="156"/>
      <c r="W123" s="156"/>
      <c r="X123" s="156"/>
      <c r="Y123" s="156"/>
      <c r="Z123" s="156"/>
      <c r="AA123" s="156">
        <v>2300787</v>
      </c>
      <c r="AB123" s="156"/>
      <c r="AC123" s="156">
        <f>SUM(Table_Query_from_MS_Access_Database_2[[#This Row],[HURF EX]:[TAP Flex]])</f>
        <v>2300787</v>
      </c>
      <c r="AD123" s="155">
        <f>AD122-Table_Query_from_MS_Access_Database_2[TOTAL OF AMOUNT]</f>
        <v>32668475.019999981</v>
      </c>
    </row>
    <row r="124" spans="1:30" ht="27" x14ac:dyDescent="0.25">
      <c r="A124" s="139" t="s">
        <v>324</v>
      </c>
      <c r="B124" s="138" t="s">
        <v>483</v>
      </c>
      <c r="C124" s="138" t="s">
        <v>259</v>
      </c>
      <c r="D124" s="138" t="s">
        <v>7</v>
      </c>
      <c r="E124" s="138" t="s">
        <v>325</v>
      </c>
      <c r="F124" s="138" t="s">
        <v>260</v>
      </c>
      <c r="G124" s="138" t="s">
        <v>100</v>
      </c>
      <c r="H124" s="138" t="s">
        <v>264</v>
      </c>
      <c r="I124" s="171" t="str">
        <f>CONCATENATE(Table_Query_from_MS_Access_Database_2[RTE],Table_Query_from_MS_Access_Database_2[SEC],Table_Query_from_MS_Access_Database_2[SEQ])</f>
        <v>GIL0216</v>
      </c>
      <c r="J124" s="167">
        <v>43714</v>
      </c>
      <c r="K124" s="159"/>
      <c r="L124" s="159"/>
      <c r="M124" s="159"/>
      <c r="N124" s="156"/>
      <c r="O124" s="156">
        <v>3600211</v>
      </c>
      <c r="P124" s="156"/>
      <c r="Q124" s="156"/>
      <c r="R124" s="156"/>
      <c r="S124" s="156"/>
      <c r="T124" s="156"/>
      <c r="U124" s="156"/>
      <c r="V124" s="156"/>
      <c r="W124" s="156"/>
      <c r="X124" s="156"/>
      <c r="Y124" s="156"/>
      <c r="Z124" s="156"/>
      <c r="AA124" s="156"/>
      <c r="AB124" s="156"/>
      <c r="AC124" s="156">
        <f>SUM(Table_Query_from_MS_Access_Database_2[[#This Row],[HURF EX]:[TAP Flex]])</f>
        <v>3600211</v>
      </c>
      <c r="AD124" s="155">
        <f>AD123-Table_Query_from_MS_Access_Database_2[TOTAL OF AMOUNT]</f>
        <v>29068264.019999981</v>
      </c>
    </row>
    <row r="125" spans="1:30" ht="27" x14ac:dyDescent="0.25">
      <c r="A125" s="139" t="s">
        <v>329</v>
      </c>
      <c r="B125" s="138" t="s">
        <v>565</v>
      </c>
      <c r="C125" s="138" t="s">
        <v>180</v>
      </c>
      <c r="D125" s="138" t="s">
        <v>7</v>
      </c>
      <c r="E125" s="138" t="s">
        <v>330</v>
      </c>
      <c r="F125" s="138" t="s">
        <v>181</v>
      </c>
      <c r="G125" s="138" t="s">
        <v>100</v>
      </c>
      <c r="H125" s="138" t="s">
        <v>230</v>
      </c>
      <c r="I125" s="171" t="str">
        <f>CONCATENATE(Table_Query_from_MS_Access_Database_2[RTE],Table_Query_from_MS_Access_Database_2[SEC],Table_Query_from_MS_Access_Database_2[SEQ])</f>
        <v>MAR0208</v>
      </c>
      <c r="J125" s="167">
        <v>43668</v>
      </c>
      <c r="K125" s="159">
        <v>43705</v>
      </c>
      <c r="L125" s="159"/>
      <c r="M125" s="159"/>
      <c r="N125" s="156"/>
      <c r="O125" s="156">
        <v>1954581</v>
      </c>
      <c r="P125" s="156">
        <v>112076</v>
      </c>
      <c r="Q125" s="156"/>
      <c r="R125" s="156"/>
      <c r="S125" s="156"/>
      <c r="T125" s="156"/>
      <c r="U125" s="156"/>
      <c r="V125" s="156"/>
      <c r="W125" s="156"/>
      <c r="X125" s="175"/>
      <c r="Y125" s="156"/>
      <c r="Z125" s="156"/>
      <c r="AA125" s="156"/>
      <c r="AB125" s="156"/>
      <c r="AC125" s="156">
        <f>SUM(Table_Query_from_MS_Access_Database_2[[#This Row],[HURF EX]:[TAP Flex]])</f>
        <v>2066657</v>
      </c>
      <c r="AD125" s="155">
        <f>AD124-Table_Query_from_MS_Access_Database_2[TOTAL OF AMOUNT]</f>
        <v>27001607.019999981</v>
      </c>
    </row>
    <row r="126" spans="1:30" x14ac:dyDescent="0.25">
      <c r="A126" s="139" t="s">
        <v>566</v>
      </c>
      <c r="B126" s="138" t="s">
        <v>398</v>
      </c>
      <c r="C126" s="138" t="s">
        <v>180</v>
      </c>
      <c r="D126" s="138" t="s">
        <v>7</v>
      </c>
      <c r="E126" s="138" t="s">
        <v>399</v>
      </c>
      <c r="F126" s="138" t="s">
        <v>181</v>
      </c>
      <c r="G126" s="138" t="s">
        <v>100</v>
      </c>
      <c r="H126" s="138" t="s">
        <v>420</v>
      </c>
      <c r="I126" s="171" t="str">
        <f>CONCATENATE(Table_Query_from_MS_Access_Database_2[RTE],Table_Query_from_MS_Access_Database_2[SEC],Table_Query_from_MS_Access_Database_2[SEQ])</f>
        <v>MAR0212</v>
      </c>
      <c r="J126" s="167">
        <v>43679</v>
      </c>
      <c r="K126" s="159">
        <v>43714</v>
      </c>
      <c r="L126" s="159"/>
      <c r="M126" s="159"/>
      <c r="N126" s="156"/>
      <c r="O126" s="156"/>
      <c r="P126" s="156"/>
      <c r="Q126" s="156"/>
      <c r="R126" s="156"/>
      <c r="S126" s="156"/>
      <c r="T126" s="156"/>
      <c r="U126" s="156">
        <v>75440</v>
      </c>
      <c r="V126" s="156"/>
      <c r="W126" s="156"/>
      <c r="X126" s="156"/>
      <c r="Y126" s="156"/>
      <c r="Z126" s="156"/>
      <c r="AA126" s="156"/>
      <c r="AB126" s="156"/>
      <c r="AC126" s="156">
        <f>SUM(Table_Query_from_MS_Access_Database_2[[#This Row],[HURF EX]:[TAP Flex]])</f>
        <v>75440</v>
      </c>
      <c r="AD126" s="155">
        <f>AD125-Table_Query_from_MS_Access_Database_2[TOTAL OF AMOUNT]</f>
        <v>26926167.019999981</v>
      </c>
    </row>
    <row r="127" spans="1:30" ht="40.5" x14ac:dyDescent="0.25">
      <c r="A127" s="139" t="s">
        <v>461</v>
      </c>
      <c r="B127" s="140" t="s">
        <v>461</v>
      </c>
      <c r="C127" s="140" t="s">
        <v>462</v>
      </c>
      <c r="D127" s="140" t="s">
        <v>7</v>
      </c>
      <c r="E127" s="140" t="s">
        <v>463</v>
      </c>
      <c r="F127" s="140" t="s">
        <v>464</v>
      </c>
      <c r="G127" s="140" t="s">
        <v>100</v>
      </c>
      <c r="H127" s="140" t="s">
        <v>179</v>
      </c>
      <c r="I127" s="172" t="str">
        <f>CONCATENATE(Table_Query_from_MS_Access_Database_2[RTE],Table_Query_from_MS_Access_Database_2[SEC],Table_Query_from_MS_Access_Database_2[SEQ])</f>
        <v>SRI0TBD</v>
      </c>
      <c r="J127" s="198">
        <v>43647</v>
      </c>
      <c r="K127" s="164"/>
      <c r="L127" s="164"/>
      <c r="M127" s="164"/>
      <c r="N127" s="201"/>
      <c r="O127" s="201">
        <v>81380</v>
      </c>
      <c r="P127" s="156"/>
      <c r="Q127" s="156"/>
      <c r="R127" s="156"/>
      <c r="S127" s="156"/>
      <c r="T127" s="156"/>
      <c r="U127" s="156"/>
      <c r="V127" s="156"/>
      <c r="W127" s="156"/>
      <c r="X127" s="156"/>
      <c r="Y127" s="156"/>
      <c r="Z127" s="156"/>
      <c r="AA127" s="156"/>
      <c r="AB127" s="156"/>
      <c r="AC127" s="156">
        <f>SUM(Table_Query_from_MS_Access_Database_2[[#This Row],[HURF EX]:[TAP Flex]])</f>
        <v>81380</v>
      </c>
      <c r="AD127" s="155">
        <f>AD126-Table_Query_from_MS_Access_Database_2[TOTAL OF AMOUNT]</f>
        <v>26844787.019999981</v>
      </c>
    </row>
    <row r="128" spans="1:30" x14ac:dyDescent="0.25">
      <c r="A128" s="47"/>
      <c r="B128" s="47"/>
      <c r="C128" s="47"/>
      <c r="D128" s="47"/>
      <c r="E128" s="47"/>
      <c r="F128" s="47"/>
      <c r="G128" s="47"/>
      <c r="H128" s="47"/>
      <c r="I128" s="47"/>
      <c r="J128" s="81"/>
      <c r="K128" s="81"/>
      <c r="L128" s="81"/>
      <c r="M128" s="73" t="s">
        <v>80</v>
      </c>
      <c r="N128" s="160">
        <f>SUM(Table_Query_from_MS_Access_Database_2[[#All],[HURF EX]])</f>
        <v>0</v>
      </c>
      <c r="O128" s="160">
        <f>SUM(Table_Query_from_MS_Access_Database_2[[#All],[CMAQ]])</f>
        <v>5636172</v>
      </c>
      <c r="P128" s="160">
        <f>SUM(Table_Query_from_MS_Access_Database_2[[#All],[CMAQ 2_5]])</f>
        <v>112076</v>
      </c>
      <c r="Q128" s="160">
        <f>SUM(Table_Query_from_MS_Access_Database_2[[#All],[HSIP]])</f>
        <v>0</v>
      </c>
      <c r="R128" s="160">
        <f>SUM(Table_Query_from_MS_Access_Database_2[[#All],[PL]])</f>
        <v>0</v>
      </c>
      <c r="S128" s="160">
        <f>SUM(Table_Query_from_MS_Access_Database_2[[#All],[SPR]])</f>
        <v>0</v>
      </c>
      <c r="T128" s="160">
        <f>SUM(Table_Query_from_MS_Access_Database_2[[#All],[STP &lt;5]])</f>
        <v>0</v>
      </c>
      <c r="U128" s="160">
        <f>SUM(Table_Query_from_MS_Access_Database_2[[#All],[STP 5-200]])</f>
        <v>75440</v>
      </c>
      <c r="V128" s="160">
        <f>SUM(Table_Query_from_MS_Access_Database_2[[#All],[STP OVER 200K]])</f>
        <v>3760320</v>
      </c>
      <c r="W128" s="160">
        <f>SUM(Table_Query_from_MS_Access_Database_2[[#All],[STP OTHER]])</f>
        <v>0</v>
      </c>
      <c r="X128" s="160">
        <f>SUM(Table_Query_from_MS_Access_Database_2[[#All],[HIP &gt;200]])</f>
        <v>0</v>
      </c>
      <c r="Y128" s="160">
        <f>SUM(Table_Query_from_MS_Access_Database_2[[#All],[TAP &lt;5]])</f>
        <v>0</v>
      </c>
      <c r="Z128" s="160">
        <f>SUM(Table_Query_from_MS_Access_Database_2[[#All],[TAP 5-200]])</f>
        <v>0</v>
      </c>
      <c r="AA128" s="160">
        <f>SUM(Table_Query_from_MS_Access_Database_2[[#All],[TA OVER 200K]])</f>
        <v>2300787</v>
      </c>
      <c r="AB128" s="160">
        <f>SUM(Table_Query_from_MS_Access_Database_2[[#All],[TAP Flex]])</f>
        <v>0</v>
      </c>
      <c r="AC128" s="160">
        <f>SUM(N128:AB128)</f>
        <v>11884795</v>
      </c>
      <c r="AD128" s="35"/>
    </row>
    <row r="129" spans="1:30" ht="27.75" thickBot="1" x14ac:dyDescent="0.3">
      <c r="A129" s="47"/>
      <c r="B129" s="47"/>
      <c r="C129" s="47"/>
      <c r="D129" s="47"/>
      <c r="E129" s="47"/>
      <c r="F129" s="47"/>
      <c r="G129" s="47"/>
      <c r="H129" s="47"/>
      <c r="I129" s="47"/>
      <c r="J129" s="81"/>
      <c r="K129" s="81"/>
      <c r="L129" s="81"/>
      <c r="M129" s="74" t="s">
        <v>79</v>
      </c>
      <c r="N129" s="161">
        <f>+N117-N128</f>
        <v>0</v>
      </c>
      <c r="O129" s="161">
        <f>+O117-O128</f>
        <v>5110883.349999994</v>
      </c>
      <c r="P129" s="161">
        <f>+P117-P128</f>
        <v>49268</v>
      </c>
      <c r="Q129" s="161">
        <f>+Q117-Q128</f>
        <v>141019.81</v>
      </c>
      <c r="R129" s="161">
        <f>+R117-R128</f>
        <v>21138</v>
      </c>
      <c r="S129" s="161">
        <f>+S117-S128</f>
        <v>0</v>
      </c>
      <c r="T129" s="161">
        <f>+T117-T128</f>
        <v>-345173</v>
      </c>
      <c r="U129" s="161">
        <f>+U117-U128</f>
        <v>-380847</v>
      </c>
      <c r="V129" s="161">
        <f>+V117-V128</f>
        <v>50847017.819999993</v>
      </c>
      <c r="W129" s="161">
        <f>+W117-W128</f>
        <v>-235750</v>
      </c>
      <c r="X129" s="161">
        <f>+X117-X128</f>
        <v>26700656</v>
      </c>
      <c r="Y129" s="161">
        <f>+Y117-Y128</f>
        <v>59443</v>
      </c>
      <c r="Z129" s="161">
        <f>+Z117-Z128</f>
        <v>158682</v>
      </c>
      <c r="AA129" s="161">
        <f>+AA117-AA128</f>
        <v>7558698.1900000013</v>
      </c>
      <c r="AB129" s="161">
        <f>+AB117-AB128</f>
        <v>0</v>
      </c>
      <c r="AC129" s="161">
        <f>+AC117-AC128</f>
        <v>89685036.170000002</v>
      </c>
      <c r="AD129" s="35"/>
    </row>
    <row r="130" spans="1:30" x14ac:dyDescent="0.25">
      <c r="A130" s="45"/>
      <c r="B130" s="45"/>
      <c r="C130" s="45"/>
      <c r="D130" s="45"/>
      <c r="E130" s="45"/>
      <c r="F130" s="45"/>
      <c r="G130" s="45"/>
      <c r="H130" s="45"/>
      <c r="I130" s="45"/>
      <c r="J130" s="83"/>
      <c r="K130" s="83"/>
      <c r="L130" s="83"/>
      <c r="M130" s="83"/>
      <c r="N130" s="202">
        <f>N116+N128</f>
        <v>0</v>
      </c>
      <c r="O130" s="202">
        <f>O116+O128</f>
        <v>46891107.290000007</v>
      </c>
      <c r="P130" s="202">
        <f>P116+P128</f>
        <v>674949</v>
      </c>
      <c r="Q130" s="202">
        <f>Q116+Q128</f>
        <v>-141019.81</v>
      </c>
      <c r="R130" s="202">
        <f>R116+R128</f>
        <v>4216991</v>
      </c>
      <c r="S130" s="202">
        <f>S116+S128</f>
        <v>1250000</v>
      </c>
      <c r="T130" s="202">
        <f>T116+T128</f>
        <v>1565841</v>
      </c>
      <c r="U130" s="202">
        <f>U116+U128</f>
        <v>2984620</v>
      </c>
      <c r="V130" s="202">
        <f>V116+V128</f>
        <v>56759442</v>
      </c>
      <c r="W130" s="202">
        <f>W116+W128</f>
        <v>235750</v>
      </c>
      <c r="X130" s="202">
        <f>X116+X128</f>
        <v>0</v>
      </c>
      <c r="Y130" s="202">
        <f>Y116+Y128</f>
        <v>94296</v>
      </c>
      <c r="Z130" s="202">
        <f>Z116+Z128</f>
        <v>190486</v>
      </c>
      <c r="AA130" s="202">
        <f>AA116+AA128</f>
        <v>3321541</v>
      </c>
      <c r="AB130" s="202">
        <f>AB116+AB128</f>
        <v>0</v>
      </c>
      <c r="AC130" s="202">
        <f>AC116+AC128</f>
        <v>118044003.48</v>
      </c>
      <c r="AD130" s="35"/>
    </row>
    <row r="131" spans="1:30" x14ac:dyDescent="0.25">
      <c r="A131" s="45"/>
      <c r="B131" s="45"/>
      <c r="C131" s="45"/>
      <c r="D131" s="45"/>
      <c r="E131" s="45"/>
      <c r="F131" s="45"/>
      <c r="G131" s="45"/>
      <c r="H131" s="45"/>
      <c r="I131" s="45"/>
      <c r="J131" s="83"/>
      <c r="K131" s="83"/>
      <c r="L131" s="83"/>
      <c r="M131" s="186" t="s">
        <v>528</v>
      </c>
      <c r="N131" s="46"/>
      <c r="O131" s="46"/>
      <c r="P131" s="46"/>
      <c r="Q131" s="46"/>
      <c r="R131" s="46"/>
      <c r="S131" s="46"/>
      <c r="T131" s="42"/>
      <c r="U131" s="46"/>
      <c r="V131" s="52"/>
      <c r="W131" s="43"/>
      <c r="X131" s="44"/>
    </row>
    <row r="132" spans="1:30" ht="17.25" x14ac:dyDescent="0.25">
      <c r="A132" s="129" t="s">
        <v>81</v>
      </c>
      <c r="B132" s="45"/>
      <c r="C132" s="45"/>
      <c r="D132" s="45"/>
      <c r="E132" s="45"/>
      <c r="F132" s="45"/>
      <c r="G132" s="45"/>
      <c r="H132" s="45"/>
      <c r="I132" s="45"/>
      <c r="J132" s="186"/>
      <c r="K132" s="83"/>
      <c r="L132" s="83"/>
      <c r="M132" s="83"/>
      <c r="N132" s="247" t="s">
        <v>62</v>
      </c>
      <c r="O132" s="247"/>
      <c r="P132" s="247"/>
      <c r="Q132" s="247"/>
      <c r="R132" s="247"/>
      <c r="S132" s="247"/>
      <c r="T132" s="247"/>
      <c r="U132" s="247"/>
      <c r="V132" s="247"/>
      <c r="W132" s="247"/>
      <c r="X132" s="44"/>
    </row>
    <row r="133" spans="1:30" x14ac:dyDescent="0.25">
      <c r="A133" s="45"/>
      <c r="B133" s="45"/>
      <c r="C133" s="45"/>
      <c r="D133" s="45"/>
      <c r="E133" s="45"/>
      <c r="F133" s="45"/>
      <c r="G133" s="45"/>
      <c r="H133" s="45"/>
      <c r="I133" s="45"/>
      <c r="J133" s="186" t="s">
        <v>528</v>
      </c>
      <c r="K133" s="83"/>
      <c r="L133" s="83"/>
      <c r="M133" s="84"/>
      <c r="N133" s="85" t="s">
        <v>257</v>
      </c>
      <c r="O133" s="85" t="s">
        <v>43</v>
      </c>
      <c r="P133" s="86" t="s">
        <v>44</v>
      </c>
      <c r="Q133" s="87" t="s">
        <v>64</v>
      </c>
      <c r="R133" s="86" t="s">
        <v>45</v>
      </c>
      <c r="S133" s="86" t="s">
        <v>59</v>
      </c>
      <c r="T133" s="86" t="s">
        <v>218</v>
      </c>
      <c r="U133" s="86" t="s">
        <v>219</v>
      </c>
      <c r="V133" s="86" t="s">
        <v>98</v>
      </c>
      <c r="W133" s="86" t="s">
        <v>6</v>
      </c>
      <c r="X133" s="86" t="s">
        <v>485</v>
      </c>
      <c r="Y133" s="86" t="s">
        <v>220</v>
      </c>
      <c r="Z133" s="86" t="s">
        <v>221</v>
      </c>
      <c r="AA133" s="86" t="s">
        <v>99</v>
      </c>
      <c r="AB133" s="86" t="s">
        <v>233</v>
      </c>
      <c r="AC133" s="88" t="s">
        <v>10</v>
      </c>
      <c r="AD133" s="89" t="s">
        <v>63</v>
      </c>
    </row>
    <row r="134" spans="1:30" x14ac:dyDescent="0.25">
      <c r="A134" s="47"/>
      <c r="B134" s="47"/>
      <c r="C134" s="47"/>
      <c r="D134" s="47"/>
      <c r="E134" s="47"/>
      <c r="F134" s="47"/>
      <c r="G134" s="47"/>
      <c r="H134" s="47"/>
      <c r="I134" s="136"/>
      <c r="J134" s="230"/>
      <c r="K134" s="80"/>
      <c r="L134" s="80"/>
      <c r="M134" s="136" t="s">
        <v>234</v>
      </c>
      <c r="N134" s="120">
        <f>N129</f>
        <v>0</v>
      </c>
      <c r="O134" s="120">
        <f>O129</f>
        <v>5110883.349999994</v>
      </c>
      <c r="P134" s="120">
        <f t="shared" ref="P134:W134" si="2">P129</f>
        <v>49268</v>
      </c>
      <c r="Q134" s="120">
        <f t="shared" si="2"/>
        <v>141019.81</v>
      </c>
      <c r="R134" s="120">
        <f t="shared" si="2"/>
        <v>21138</v>
      </c>
      <c r="S134" s="120">
        <f t="shared" si="2"/>
        <v>0</v>
      </c>
      <c r="T134" s="120">
        <f t="shared" si="2"/>
        <v>-345173</v>
      </c>
      <c r="U134" s="120">
        <f t="shared" si="2"/>
        <v>-380847</v>
      </c>
      <c r="V134" s="120">
        <v>0</v>
      </c>
      <c r="W134" s="120">
        <f t="shared" si="2"/>
        <v>-235750</v>
      </c>
      <c r="X134" s="120">
        <v>0</v>
      </c>
      <c r="Y134" s="120">
        <f>Y129</f>
        <v>59443</v>
      </c>
      <c r="Z134" s="120">
        <f>Z129</f>
        <v>158682</v>
      </c>
      <c r="AA134" s="120">
        <v>0</v>
      </c>
      <c r="AB134" s="120">
        <f>AB129</f>
        <v>0</v>
      </c>
      <c r="AC134" s="120">
        <f>+SUM(Table6[[#This Row],[HURF EX]:[TAP Flex]])</f>
        <v>4578664.1599999936</v>
      </c>
      <c r="AD134" s="120">
        <f>+AD127-AD137</f>
        <v>144131.01999998093</v>
      </c>
    </row>
    <row r="135" spans="1:30" x14ac:dyDescent="0.25">
      <c r="A135" s="47"/>
      <c r="B135" s="47"/>
      <c r="C135" s="47"/>
      <c r="D135" s="47"/>
      <c r="E135" s="47"/>
      <c r="F135" s="47"/>
      <c r="G135" s="47"/>
      <c r="H135" s="47"/>
      <c r="I135" s="136"/>
      <c r="J135" s="80"/>
      <c r="K135" s="80"/>
      <c r="L135" s="80"/>
      <c r="M135" s="136" t="s">
        <v>235</v>
      </c>
      <c r="N135" s="121">
        <v>0</v>
      </c>
      <c r="O135" s="121">
        <v>0</v>
      </c>
      <c r="P135" s="121">
        <v>0</v>
      </c>
      <c r="Q135" s="121">
        <v>0</v>
      </c>
      <c r="R135" s="121">
        <v>0</v>
      </c>
      <c r="S135" s="121">
        <v>0</v>
      </c>
      <c r="T135" s="121">
        <v>0</v>
      </c>
      <c r="U135" s="121">
        <v>0</v>
      </c>
      <c r="V135" s="121">
        <v>0</v>
      </c>
      <c r="W135" s="121">
        <v>0</v>
      </c>
      <c r="X135" s="121">
        <v>0</v>
      </c>
      <c r="Y135" s="121">
        <v>0</v>
      </c>
      <c r="Z135" s="121">
        <v>0</v>
      </c>
      <c r="AA135" s="121">
        <v>0</v>
      </c>
      <c r="AB135" s="121">
        <v>0</v>
      </c>
      <c r="AC135" s="121">
        <f>+SUM(Table6[[#This Row],[HURF EX]:[TAP Flex]])</f>
        <v>0</v>
      </c>
      <c r="AD135" s="121">
        <f>SUMIFS(Table_Query_from_MS_Access_Database_16[[#All],[To]],Table_Query_from_MS_Access_Database_16[[#All],[Transaction Year]],"2019",Table_Query_from_MS_Access_Database_16[[#All],[Transaction Type]],"Lapsing")</f>
        <v>0</v>
      </c>
    </row>
    <row r="136" spans="1:30" x14ac:dyDescent="0.25">
      <c r="A136" s="47"/>
      <c r="B136" s="47"/>
      <c r="C136" s="47"/>
      <c r="D136" s="47"/>
      <c r="E136" s="47"/>
      <c r="F136" s="47"/>
      <c r="G136" s="47"/>
      <c r="H136" s="47"/>
      <c r="I136" s="136"/>
      <c r="J136" s="80"/>
      <c r="K136" s="230"/>
      <c r="L136" s="80"/>
      <c r="M136" s="136" t="s">
        <v>236</v>
      </c>
      <c r="N136" s="120">
        <f t="shared" ref="N136" si="3">N134+N135</f>
        <v>0</v>
      </c>
      <c r="O136" s="120">
        <v>0</v>
      </c>
      <c r="P136" s="120">
        <f t="shared" ref="P136:S136" si="4">P134+P135</f>
        <v>49268</v>
      </c>
      <c r="Q136" s="120">
        <f t="shared" si="4"/>
        <v>141019.81</v>
      </c>
      <c r="R136" s="120">
        <f t="shared" si="4"/>
        <v>21138</v>
      </c>
      <c r="S136" s="120">
        <f t="shared" si="4"/>
        <v>0</v>
      </c>
      <c r="T136" s="120">
        <f t="shared" ref="T136" si="5">T134+T135</f>
        <v>-345173</v>
      </c>
      <c r="U136" s="120">
        <f t="shared" ref="U136" si="6">U134+U135</f>
        <v>-380847</v>
      </c>
      <c r="V136" s="120">
        <v>0</v>
      </c>
      <c r="W136" s="120">
        <f t="shared" ref="W136:X136" si="7">W134+W135</f>
        <v>-235750</v>
      </c>
      <c r="X136" s="120">
        <f t="shared" si="7"/>
        <v>0</v>
      </c>
      <c r="Y136" s="120">
        <f t="shared" ref="Y136:Z136" si="8">Y134+Y135</f>
        <v>59443</v>
      </c>
      <c r="Z136" s="120">
        <f t="shared" si="8"/>
        <v>158682</v>
      </c>
      <c r="AA136" s="120">
        <v>0</v>
      </c>
      <c r="AB136" s="120">
        <f t="shared" ref="AB136" si="9">AB134+AB135</f>
        <v>0</v>
      </c>
      <c r="AC136" s="120">
        <f>+SUM(Table6[[#This Row],[HURF EX]:[TAP Flex]])</f>
        <v>-532219.18999999994</v>
      </c>
      <c r="AD136" s="120">
        <f t="shared" ref="AD136" si="10">SUBTOTAL(109,AD134:AD135)</f>
        <v>144131.01999998093</v>
      </c>
    </row>
    <row r="137" spans="1:30" x14ac:dyDescent="0.25">
      <c r="A137" s="47"/>
      <c r="B137" s="47"/>
      <c r="C137" s="47"/>
      <c r="D137" s="47"/>
      <c r="E137" s="47"/>
      <c r="F137" s="47"/>
      <c r="G137" s="47"/>
      <c r="H137" s="47"/>
      <c r="I137" s="137"/>
      <c r="J137" s="80"/>
      <c r="K137" s="80"/>
      <c r="L137" s="80"/>
      <c r="M137" s="137" t="s">
        <v>237</v>
      </c>
      <c r="N137" s="120">
        <f>+N129-N134</f>
        <v>0</v>
      </c>
      <c r="O137" s="120">
        <f t="shared" ref="O137:W137" si="11">+O129-O134</f>
        <v>0</v>
      </c>
      <c r="P137" s="120">
        <f t="shared" si="11"/>
        <v>0</v>
      </c>
      <c r="Q137" s="120">
        <f t="shared" si="11"/>
        <v>0</v>
      </c>
      <c r="R137" s="120">
        <f t="shared" si="11"/>
        <v>0</v>
      </c>
      <c r="S137" s="120">
        <f t="shared" si="11"/>
        <v>0</v>
      </c>
      <c r="T137" s="120">
        <f t="shared" si="11"/>
        <v>0</v>
      </c>
      <c r="U137" s="120">
        <f t="shared" si="11"/>
        <v>0</v>
      </c>
      <c r="V137" s="120">
        <f t="shared" si="11"/>
        <v>50847017.819999993</v>
      </c>
      <c r="W137" s="120">
        <f t="shared" si="11"/>
        <v>0</v>
      </c>
      <c r="X137" s="120">
        <f t="shared" ref="X137:AA137" si="12">+X129-X134</f>
        <v>26700656</v>
      </c>
      <c r="Y137" s="120">
        <f t="shared" si="12"/>
        <v>0</v>
      </c>
      <c r="Z137" s="120">
        <f t="shared" si="12"/>
        <v>0</v>
      </c>
      <c r="AA137" s="120">
        <f t="shared" si="12"/>
        <v>7558698.1900000013</v>
      </c>
      <c r="AB137" s="120">
        <f>+AB129-AB134</f>
        <v>0</v>
      </c>
      <c r="AC137" s="120">
        <f>+SUM(Table6[[#This Row],[HURF EX]:[TAP Flex]])</f>
        <v>85106372.00999999</v>
      </c>
      <c r="AD137" s="120">
        <f>X129</f>
        <v>26700656</v>
      </c>
    </row>
    <row r="140" spans="1:30" x14ac:dyDescent="0.25">
      <c r="M140" s="239" t="s">
        <v>528</v>
      </c>
    </row>
    <row r="141" spans="1:30" x14ac:dyDescent="0.25">
      <c r="N141" s="35" t="s">
        <v>528</v>
      </c>
      <c r="P141" s="231"/>
    </row>
    <row r="142" spans="1:30" x14ac:dyDescent="0.25">
      <c r="P142" s="231"/>
    </row>
    <row r="143" spans="1:30" x14ac:dyDescent="0.25">
      <c r="P143" s="231"/>
    </row>
    <row r="146" spans="18:18" x14ac:dyDescent="0.25">
      <c r="R146" s="35">
        <f>50812393.04-45079176.04</f>
        <v>5733217</v>
      </c>
    </row>
  </sheetData>
  <sheetProtection autoFilter="0"/>
  <mergeCells count="10">
    <mergeCell ref="A119:D119"/>
    <mergeCell ref="N132:W132"/>
    <mergeCell ref="A1:F1"/>
    <mergeCell ref="A16:D16"/>
    <mergeCell ref="A10:L10"/>
    <mergeCell ref="A3:D3"/>
    <mergeCell ref="A4:D4"/>
    <mergeCell ref="J16:M16"/>
    <mergeCell ref="N1:AC1"/>
    <mergeCell ref="N2:AC2"/>
  </mergeCells>
  <pageMargins left="0.5" right="0.25" top="0.75" bottom="0.75" header="0.3" footer="0.3"/>
  <pageSetup paperSize="17" scale="56" fitToHeight="0" orientation="landscape" horizontalDpi="1200" verticalDpi="1200" r:id="rId1"/>
  <headerFooter>
    <oddFooter>&amp;L&amp;8&amp;Z&amp;F&amp;R&amp;P of &amp;N</oddFooter>
  </headerFooter>
  <legacy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W99"/>
  <sheetViews>
    <sheetView zoomScale="90" zoomScaleNormal="90" workbookViewId="0">
      <selection sqref="A1:F1"/>
    </sheetView>
  </sheetViews>
  <sheetFormatPr defaultColWidth="19.7109375" defaultRowHeight="15" x14ac:dyDescent="0.25"/>
  <cols>
    <col min="1" max="1" width="19.5703125" style="25" customWidth="1"/>
    <col min="2" max="2" width="19.85546875" style="25" customWidth="1"/>
    <col min="3" max="3" width="17.5703125" style="25" customWidth="1"/>
    <col min="4" max="5" width="10.140625" style="25" customWidth="1"/>
    <col min="6" max="6" width="19.5703125" style="25" customWidth="1"/>
    <col min="7" max="7" width="19.28515625" style="25" customWidth="1"/>
    <col min="8" max="8" width="58.28515625" style="26" customWidth="1"/>
    <col min="9" max="9" width="14.28515625" style="25" customWidth="1"/>
    <col min="10" max="10" width="10.42578125" style="25" customWidth="1"/>
    <col min="11" max="11" width="13.140625" style="25" customWidth="1"/>
    <col min="12" max="12" width="18.42578125" style="25" customWidth="1"/>
    <col min="13" max="13" width="12.5703125" style="25" customWidth="1"/>
    <col min="14" max="14" width="9.7109375" style="25" customWidth="1"/>
    <col min="15" max="15" width="13.28515625" style="25" customWidth="1"/>
    <col min="16" max="16" width="10.42578125" style="25" customWidth="1"/>
    <col min="17" max="17" width="11.28515625" style="67" customWidth="1"/>
    <col min="18" max="19" width="14.28515625" style="67" customWidth="1"/>
    <col min="20" max="20" width="12.5703125" style="67" customWidth="1"/>
    <col min="21" max="21" width="10.7109375" style="67" customWidth="1"/>
    <col min="22" max="22" width="11.5703125" style="67" customWidth="1"/>
    <col min="23" max="24" width="13" style="67" customWidth="1"/>
    <col min="25" max="25" width="12.28515625" style="67" customWidth="1"/>
    <col min="26" max="26" width="12.42578125" style="67" customWidth="1"/>
    <col min="27" max="27" width="8.7109375" style="67" customWidth="1"/>
    <col min="28" max="28" width="12" style="67" customWidth="1"/>
    <col min="29" max="29" width="13.28515625" style="67" customWidth="1"/>
    <col min="30" max="30" width="12.28515625" style="67" customWidth="1"/>
    <col min="31" max="31" width="11.42578125" style="67" customWidth="1"/>
    <col min="32" max="32" width="14.28515625" style="25" customWidth="1"/>
    <col min="33" max="33" width="17.42578125" style="25" customWidth="1"/>
    <col min="34" max="34" width="10.7109375" style="67" customWidth="1"/>
    <col min="35" max="35" width="11.42578125" style="67" customWidth="1"/>
    <col min="36" max="36" width="12.28515625" style="67" customWidth="1"/>
    <col min="37" max="37" width="16.42578125" style="67" customWidth="1"/>
    <col min="38" max="38" width="8.28515625" style="67" customWidth="1"/>
    <col min="39" max="39" width="9" style="67" customWidth="1"/>
    <col min="40" max="40" width="11.5703125" style="67" customWidth="1"/>
    <col min="41" max="41" width="13.85546875" style="67" customWidth="1"/>
    <col min="42" max="43" width="9.5703125" style="25" customWidth="1"/>
    <col min="44" max="44" width="11.85546875" style="25" customWidth="1"/>
    <col min="45" max="45" width="64.28515625" style="25" customWidth="1"/>
    <col min="46" max="46" width="14" style="25" customWidth="1"/>
    <col min="47" max="47" width="16.85546875" style="25" customWidth="1"/>
    <col min="48" max="48" width="12.140625" style="25" customWidth="1"/>
    <col min="49" max="49" width="16" style="25" customWidth="1"/>
    <col min="50" max="16384" width="19.7109375" style="9"/>
  </cols>
  <sheetData>
    <row r="1" spans="1:49" ht="18.75" x14ac:dyDescent="0.25">
      <c r="A1" s="258" t="str">
        <f>+'Federal Funds Transactions'!A1:F1</f>
        <v>Maricopa Association of Goverments</v>
      </c>
      <c r="B1" s="258"/>
      <c r="C1" s="258"/>
      <c r="D1" s="258"/>
      <c r="E1" s="258"/>
      <c r="F1" s="258"/>
    </row>
    <row r="2" spans="1:49" x14ac:dyDescent="0.25">
      <c r="A2" s="27"/>
      <c r="B2" s="27"/>
      <c r="C2" s="27"/>
      <c r="D2" s="27"/>
      <c r="E2" s="27"/>
      <c r="F2" s="27"/>
    </row>
    <row r="3" spans="1:49" x14ac:dyDescent="0.25">
      <c r="A3" s="259" t="s">
        <v>87</v>
      </c>
      <c r="B3" s="259"/>
      <c r="C3" s="259"/>
      <c r="D3" s="259"/>
      <c r="E3" s="259"/>
      <c r="F3" s="259"/>
    </row>
    <row r="4" spans="1:49" x14ac:dyDescent="0.25">
      <c r="A4" s="28"/>
      <c r="B4" s="28"/>
      <c r="C4" s="28"/>
      <c r="D4" s="28"/>
      <c r="E4" s="28"/>
      <c r="F4" s="28"/>
    </row>
    <row r="5" spans="1:49" x14ac:dyDescent="0.25">
      <c r="A5" s="25" t="s">
        <v>86</v>
      </c>
      <c r="B5" s="53">
        <f>'Federal Funds Transactions'!C6</f>
        <v>43708</v>
      </c>
      <c r="C5" s="27"/>
      <c r="D5" s="27"/>
      <c r="E5" s="27"/>
      <c r="F5" s="27"/>
    </row>
    <row r="6" spans="1:49" x14ac:dyDescent="0.25">
      <c r="A6" s="27"/>
      <c r="B6" s="27"/>
      <c r="C6" s="27"/>
      <c r="D6" s="27"/>
      <c r="E6" s="27"/>
      <c r="F6" s="27"/>
    </row>
    <row r="7" spans="1:49" ht="15" customHeight="1" x14ac:dyDescent="0.25">
      <c r="A7" s="262" t="str">
        <f>+'Federal Funds Transactions'!A10:L10</f>
        <v>IMPORTANT! Please review the information in the Notes tab for further explanation of the data in this document.</v>
      </c>
      <c r="B7" s="262"/>
      <c r="C7" s="262"/>
      <c r="D7" s="262"/>
      <c r="E7" s="262"/>
      <c r="F7" s="262"/>
      <c r="G7" s="262"/>
      <c r="H7" s="262"/>
    </row>
    <row r="9" spans="1:49" ht="15.75" customHeight="1" x14ac:dyDescent="0.25">
      <c r="A9" s="260" t="s">
        <v>83</v>
      </c>
      <c r="B9" s="260"/>
      <c r="C9" s="260"/>
      <c r="D9" s="260"/>
      <c r="E9" s="260"/>
      <c r="F9" s="260"/>
      <c r="G9" s="260"/>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row>
    <row r="10" spans="1:49" ht="15.75" x14ac:dyDescent="0.25">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31"/>
      <c r="AW10" s="31"/>
    </row>
    <row r="11" spans="1:49" x14ac:dyDescent="0.25">
      <c r="A11" s="56" t="s">
        <v>46</v>
      </c>
      <c r="B11" s="57" t="s">
        <v>47</v>
      </c>
      <c r="C11" s="57" t="s">
        <v>13</v>
      </c>
      <c r="D11" s="57" t="s">
        <v>92</v>
      </c>
      <c r="E11" s="57" t="s">
        <v>93</v>
      </c>
      <c r="F11" s="57" t="s">
        <v>48</v>
      </c>
      <c r="G11" s="57" t="s">
        <v>94</v>
      </c>
      <c r="H11" s="57" t="s">
        <v>95</v>
      </c>
      <c r="I11" s="57" t="s">
        <v>10</v>
      </c>
      <c r="J11" s="57" t="s">
        <v>43</v>
      </c>
      <c r="K11" s="57" t="s">
        <v>244</v>
      </c>
      <c r="L11" s="57" t="s">
        <v>255</v>
      </c>
      <c r="M11" s="57" t="s">
        <v>4</v>
      </c>
      <c r="N11" s="57" t="s">
        <v>245</v>
      </c>
      <c r="O11" s="58" t="s">
        <v>5</v>
      </c>
      <c r="P11" s="58" t="s">
        <v>218</v>
      </c>
      <c r="Q11" s="58" t="s">
        <v>219</v>
      </c>
      <c r="R11" s="58" t="s">
        <v>246</v>
      </c>
      <c r="S11" s="58" t="s">
        <v>247</v>
      </c>
      <c r="T11" s="58" t="s">
        <v>485</v>
      </c>
      <c r="U11" s="58" t="s">
        <v>220</v>
      </c>
      <c r="V11" s="58" t="s">
        <v>221</v>
      </c>
      <c r="W11" s="58" t="s">
        <v>248</v>
      </c>
      <c r="X11" s="58" t="s">
        <v>256</v>
      </c>
      <c r="Y11" s="57" t="s">
        <v>233</v>
      </c>
      <c r="Z11" s="31"/>
      <c r="AA11" s="31"/>
      <c r="AB11" s="31"/>
      <c r="AC11" s="31"/>
      <c r="AD11" s="31"/>
      <c r="AE11" s="31"/>
      <c r="AF11" s="31"/>
      <c r="AG11" s="31"/>
      <c r="AH11" s="31"/>
      <c r="AI11" s="31"/>
      <c r="AJ11" s="9"/>
      <c r="AK11" s="9"/>
      <c r="AL11" s="9"/>
      <c r="AM11" s="9"/>
      <c r="AN11" s="9"/>
      <c r="AO11" s="9"/>
      <c r="AP11" s="9"/>
      <c r="AQ11" s="9"/>
      <c r="AR11" s="9"/>
      <c r="AS11" s="9"/>
      <c r="AT11" s="9"/>
      <c r="AU11" s="9"/>
      <c r="AV11" s="9"/>
      <c r="AW11" s="9"/>
    </row>
    <row r="12" spans="1:49" s="104" customFormat="1" ht="13.5" x14ac:dyDescent="0.25">
      <c r="A12" s="101" t="s">
        <v>103</v>
      </c>
      <c r="B12" s="102" t="s">
        <v>102</v>
      </c>
      <c r="C12" s="102" t="s">
        <v>104</v>
      </c>
      <c r="D12" s="102" t="s">
        <v>101</v>
      </c>
      <c r="E12" s="102" t="s">
        <v>49</v>
      </c>
      <c r="F12" s="102" t="s">
        <v>105</v>
      </c>
      <c r="G12" s="102"/>
      <c r="H12" s="102" t="s">
        <v>106</v>
      </c>
      <c r="I12" s="102">
        <v>1250000</v>
      </c>
      <c r="J12" s="102"/>
      <c r="K12" s="102"/>
      <c r="L12" s="102"/>
      <c r="M12" s="102"/>
      <c r="N12" s="102"/>
      <c r="O12" s="153">
        <v>1250000</v>
      </c>
      <c r="P12" s="153"/>
      <c r="Q12" s="153"/>
      <c r="R12" s="153"/>
      <c r="S12" s="153"/>
      <c r="T12" s="153"/>
      <c r="U12" s="153"/>
      <c r="V12" s="153"/>
      <c r="W12" s="153"/>
      <c r="X12" s="153"/>
      <c r="Y12" s="153"/>
      <c r="Z12" s="103"/>
      <c r="AA12" s="103"/>
      <c r="AB12" s="103"/>
      <c r="AC12" s="103"/>
      <c r="AD12" s="103"/>
      <c r="AE12" s="103"/>
      <c r="AF12" s="103"/>
      <c r="AG12" s="103"/>
      <c r="AH12" s="103"/>
      <c r="AI12" s="103"/>
    </row>
    <row r="13" spans="1:49" s="104" customFormat="1" ht="13.5" x14ac:dyDescent="0.25">
      <c r="A13" s="101" t="s">
        <v>103</v>
      </c>
      <c r="B13" s="102" t="s">
        <v>102</v>
      </c>
      <c r="C13" s="102" t="s">
        <v>107</v>
      </c>
      <c r="D13" s="102" t="s">
        <v>49</v>
      </c>
      <c r="E13" s="102" t="s">
        <v>108</v>
      </c>
      <c r="F13" s="102"/>
      <c r="G13" s="102"/>
      <c r="H13" s="102" t="s">
        <v>109</v>
      </c>
      <c r="I13" s="102">
        <v>1015069</v>
      </c>
      <c r="J13" s="102"/>
      <c r="K13" s="102"/>
      <c r="L13" s="102"/>
      <c r="M13" s="102"/>
      <c r="N13" s="102"/>
      <c r="O13" s="153"/>
      <c r="P13" s="153"/>
      <c r="Q13" s="153"/>
      <c r="R13" s="153"/>
      <c r="S13" s="153">
        <v>1015069</v>
      </c>
      <c r="T13" s="153"/>
      <c r="U13" s="153"/>
      <c r="V13" s="153"/>
      <c r="W13" s="153"/>
      <c r="X13" s="153"/>
      <c r="Y13" s="153"/>
      <c r="Z13" s="103"/>
      <c r="AA13" s="103"/>
      <c r="AB13" s="103"/>
      <c r="AC13" s="103"/>
      <c r="AD13" s="103"/>
      <c r="AE13" s="103"/>
      <c r="AF13" s="103"/>
      <c r="AG13" s="103"/>
      <c r="AH13" s="103"/>
      <c r="AI13" s="103"/>
    </row>
    <row r="14" spans="1:49" s="104" customFormat="1" ht="13.5" x14ac:dyDescent="0.25">
      <c r="A14" s="101" t="s">
        <v>103</v>
      </c>
      <c r="B14" s="102" t="s">
        <v>90</v>
      </c>
      <c r="C14" s="102" t="s">
        <v>110</v>
      </c>
      <c r="D14" s="102" t="s">
        <v>111</v>
      </c>
      <c r="E14" s="102" t="s">
        <v>49</v>
      </c>
      <c r="F14" s="102" t="s">
        <v>112</v>
      </c>
      <c r="G14" s="102"/>
      <c r="H14" s="102" t="s">
        <v>113</v>
      </c>
      <c r="I14" s="102">
        <v>565445</v>
      </c>
      <c r="J14" s="102"/>
      <c r="K14" s="102"/>
      <c r="L14" s="102"/>
      <c r="M14" s="102"/>
      <c r="N14" s="102"/>
      <c r="O14" s="153"/>
      <c r="P14" s="153"/>
      <c r="Q14" s="153"/>
      <c r="R14" s="153"/>
      <c r="S14" s="153">
        <v>565445</v>
      </c>
      <c r="T14" s="153"/>
      <c r="U14" s="153"/>
      <c r="V14" s="153"/>
      <c r="W14" s="153"/>
      <c r="X14" s="153"/>
      <c r="Y14" s="153"/>
      <c r="Z14" s="103"/>
      <c r="AA14" s="103"/>
      <c r="AB14" s="103"/>
      <c r="AC14" s="103"/>
      <c r="AD14" s="103"/>
      <c r="AE14" s="103"/>
      <c r="AF14" s="103"/>
      <c r="AG14" s="103"/>
      <c r="AH14" s="103"/>
      <c r="AI14" s="103"/>
    </row>
    <row r="15" spans="1:49" s="104" customFormat="1" ht="13.5" x14ac:dyDescent="0.25">
      <c r="A15" s="101" t="s">
        <v>103</v>
      </c>
      <c r="B15" s="102" t="s">
        <v>90</v>
      </c>
      <c r="C15" s="102" t="s">
        <v>114</v>
      </c>
      <c r="D15" s="102" t="s">
        <v>101</v>
      </c>
      <c r="E15" s="102" t="s">
        <v>49</v>
      </c>
      <c r="F15" s="102" t="s">
        <v>103</v>
      </c>
      <c r="G15" s="102" t="s">
        <v>115</v>
      </c>
      <c r="H15" s="102" t="s">
        <v>116</v>
      </c>
      <c r="I15" s="102">
        <v>1722861</v>
      </c>
      <c r="J15" s="102"/>
      <c r="K15" s="102"/>
      <c r="L15" s="102"/>
      <c r="M15" s="102">
        <v>1722861</v>
      </c>
      <c r="N15" s="102"/>
      <c r="O15" s="153"/>
      <c r="P15" s="153"/>
      <c r="Q15" s="153"/>
      <c r="R15" s="153"/>
      <c r="S15" s="153"/>
      <c r="T15" s="153"/>
      <c r="U15" s="153"/>
      <c r="V15" s="153"/>
      <c r="W15" s="153"/>
      <c r="X15" s="153"/>
      <c r="Y15" s="153"/>
      <c r="Z15" s="103"/>
      <c r="AA15" s="103"/>
      <c r="AB15" s="103"/>
      <c r="AC15" s="103"/>
      <c r="AD15" s="103"/>
      <c r="AE15" s="103"/>
      <c r="AF15" s="103"/>
      <c r="AG15" s="103"/>
      <c r="AH15" s="103"/>
      <c r="AI15" s="103"/>
    </row>
    <row r="16" spans="1:49" s="104" customFormat="1" ht="13.5" x14ac:dyDescent="0.25">
      <c r="A16" s="101" t="s">
        <v>103</v>
      </c>
      <c r="B16" s="102" t="s">
        <v>90</v>
      </c>
      <c r="C16" s="102" t="s">
        <v>117</v>
      </c>
      <c r="D16" s="102" t="s">
        <v>101</v>
      </c>
      <c r="E16" s="102" t="s">
        <v>49</v>
      </c>
      <c r="F16" s="102" t="s">
        <v>103</v>
      </c>
      <c r="G16" s="102" t="s">
        <v>118</v>
      </c>
      <c r="H16" s="102" t="s">
        <v>116</v>
      </c>
      <c r="I16" s="102">
        <v>647765</v>
      </c>
      <c r="J16" s="102"/>
      <c r="K16" s="102"/>
      <c r="L16" s="102"/>
      <c r="M16" s="102">
        <v>647765</v>
      </c>
      <c r="N16" s="102"/>
      <c r="O16" s="153"/>
      <c r="P16" s="153"/>
      <c r="Q16" s="153"/>
      <c r="R16" s="153"/>
      <c r="S16" s="153"/>
      <c r="T16" s="153"/>
      <c r="U16" s="153"/>
      <c r="V16" s="153"/>
      <c r="W16" s="153"/>
      <c r="X16" s="153"/>
      <c r="Y16" s="153"/>
      <c r="Z16" s="103"/>
      <c r="AA16" s="103"/>
      <c r="AB16" s="103"/>
      <c r="AC16" s="103"/>
      <c r="AD16" s="103"/>
      <c r="AE16" s="103"/>
      <c r="AF16" s="103"/>
      <c r="AG16" s="103"/>
      <c r="AH16" s="103"/>
      <c r="AI16" s="103"/>
    </row>
    <row r="17" spans="1:49" s="104" customFormat="1" ht="13.5" x14ac:dyDescent="0.25">
      <c r="A17" s="105" t="s">
        <v>103</v>
      </c>
      <c r="B17" s="106" t="s">
        <v>90</v>
      </c>
      <c r="C17" s="106" t="s">
        <v>119</v>
      </c>
      <c r="D17" s="106" t="s">
        <v>101</v>
      </c>
      <c r="E17" s="106" t="s">
        <v>49</v>
      </c>
      <c r="F17" s="106" t="s">
        <v>103</v>
      </c>
      <c r="G17" s="106" t="s">
        <v>120</v>
      </c>
      <c r="H17" s="106" t="s">
        <v>116</v>
      </c>
      <c r="I17" s="106">
        <v>775618</v>
      </c>
      <c r="J17" s="106"/>
      <c r="K17" s="106"/>
      <c r="L17" s="106"/>
      <c r="M17" s="106">
        <v>775618</v>
      </c>
      <c r="N17" s="106"/>
      <c r="O17" s="153"/>
      <c r="P17" s="153"/>
      <c r="Q17" s="153"/>
      <c r="R17" s="153"/>
      <c r="S17" s="153"/>
      <c r="T17" s="153"/>
      <c r="U17" s="153"/>
      <c r="V17" s="153"/>
      <c r="W17" s="153"/>
      <c r="X17" s="153"/>
      <c r="Y17" s="153"/>
      <c r="Z17" s="103"/>
      <c r="AA17" s="103"/>
      <c r="AB17" s="103"/>
      <c r="AC17" s="103"/>
      <c r="AD17" s="103"/>
      <c r="AE17" s="103"/>
      <c r="AF17" s="103"/>
      <c r="AG17" s="103"/>
      <c r="AH17" s="103"/>
      <c r="AI17" s="103"/>
    </row>
    <row r="18" spans="1:49" s="104" customFormat="1" ht="13.5" x14ac:dyDescent="0.25">
      <c r="A18" s="101" t="s">
        <v>103</v>
      </c>
      <c r="B18" s="102" t="s">
        <v>90</v>
      </c>
      <c r="C18" s="102" t="s">
        <v>121</v>
      </c>
      <c r="D18" s="102" t="s">
        <v>101</v>
      </c>
      <c r="E18" s="102" t="s">
        <v>49</v>
      </c>
      <c r="F18" s="102" t="s">
        <v>103</v>
      </c>
      <c r="G18" s="102" t="s">
        <v>122</v>
      </c>
      <c r="H18" s="102" t="s">
        <v>116</v>
      </c>
      <c r="I18" s="102">
        <v>203637</v>
      </c>
      <c r="J18" s="102"/>
      <c r="K18" s="102"/>
      <c r="L18" s="102"/>
      <c r="M18" s="102">
        <v>203637</v>
      </c>
      <c r="N18" s="102"/>
      <c r="O18" s="153"/>
      <c r="P18" s="153"/>
      <c r="Q18" s="153"/>
      <c r="R18" s="153"/>
      <c r="S18" s="153"/>
      <c r="T18" s="153"/>
      <c r="U18" s="153"/>
      <c r="V18" s="153"/>
      <c r="W18" s="153"/>
      <c r="X18" s="153"/>
      <c r="Y18" s="153"/>
      <c r="Z18" s="103"/>
      <c r="AA18" s="103"/>
      <c r="AB18" s="103"/>
      <c r="AC18" s="103"/>
      <c r="AD18" s="103"/>
      <c r="AE18" s="103"/>
      <c r="AF18" s="103"/>
      <c r="AG18" s="103"/>
      <c r="AH18" s="103"/>
      <c r="AI18" s="103"/>
      <c r="AJ18" s="107"/>
      <c r="AK18" s="107"/>
      <c r="AL18" s="107"/>
      <c r="AM18" s="107"/>
    </row>
    <row r="19" spans="1:49" s="104" customFormat="1" ht="13.5" x14ac:dyDescent="0.25">
      <c r="A19" s="101" t="s">
        <v>105</v>
      </c>
      <c r="B19" s="102" t="s">
        <v>149</v>
      </c>
      <c r="C19" s="102" t="s">
        <v>150</v>
      </c>
      <c r="D19" s="102" t="s">
        <v>49</v>
      </c>
      <c r="E19" s="102" t="s">
        <v>101</v>
      </c>
      <c r="F19" s="102" t="s">
        <v>112</v>
      </c>
      <c r="G19" s="102"/>
      <c r="H19" s="102" t="s">
        <v>151</v>
      </c>
      <c r="I19" s="102">
        <v>-12825755.34</v>
      </c>
      <c r="J19" s="102"/>
      <c r="K19" s="102"/>
      <c r="L19" s="102"/>
      <c r="M19" s="102">
        <v>-0.34</v>
      </c>
      <c r="N19" s="102"/>
      <c r="O19" s="153"/>
      <c r="P19" s="153"/>
      <c r="Q19" s="153"/>
      <c r="R19" s="153"/>
      <c r="S19" s="153">
        <v>-12360067</v>
      </c>
      <c r="T19" s="153"/>
      <c r="U19" s="153"/>
      <c r="V19" s="153"/>
      <c r="W19" s="153"/>
      <c r="X19" s="153"/>
      <c r="Y19" s="153">
        <v>-465688</v>
      </c>
      <c r="Z19" s="103"/>
      <c r="AA19" s="103"/>
      <c r="AB19" s="103"/>
      <c r="AC19" s="103"/>
      <c r="AD19" s="103"/>
      <c r="AE19" s="103"/>
      <c r="AF19" s="103"/>
      <c r="AG19" s="103"/>
      <c r="AH19" s="103"/>
      <c r="AI19" s="103"/>
      <c r="AJ19" s="107"/>
      <c r="AK19" s="107"/>
      <c r="AL19" s="107"/>
      <c r="AM19" s="107"/>
    </row>
    <row r="20" spans="1:49" s="104" customFormat="1" ht="13.5" x14ac:dyDescent="0.25">
      <c r="A20" s="101" t="s">
        <v>105</v>
      </c>
      <c r="B20" s="102" t="s">
        <v>102</v>
      </c>
      <c r="C20" s="102" t="s">
        <v>156</v>
      </c>
      <c r="D20" s="102" t="s">
        <v>101</v>
      </c>
      <c r="E20" s="102" t="s">
        <v>49</v>
      </c>
      <c r="F20" s="102" t="s">
        <v>124</v>
      </c>
      <c r="G20" s="102"/>
      <c r="H20" s="102" t="s">
        <v>157</v>
      </c>
      <c r="I20" s="102">
        <v>49157</v>
      </c>
      <c r="J20" s="102"/>
      <c r="K20" s="102"/>
      <c r="L20" s="102"/>
      <c r="M20" s="102">
        <v>49157</v>
      </c>
      <c r="N20" s="102"/>
      <c r="O20" s="153"/>
      <c r="P20" s="153"/>
      <c r="Q20" s="153"/>
      <c r="R20" s="153"/>
      <c r="S20" s="153"/>
      <c r="T20" s="153"/>
      <c r="U20" s="153"/>
      <c r="V20" s="153"/>
      <c r="W20" s="153"/>
      <c r="X20" s="153"/>
      <c r="Y20" s="153"/>
      <c r="Z20" s="103"/>
      <c r="AA20" s="103"/>
      <c r="AB20" s="103"/>
      <c r="AC20" s="103"/>
      <c r="AD20" s="103"/>
      <c r="AE20" s="103"/>
      <c r="AF20" s="103"/>
      <c r="AG20" s="103"/>
      <c r="AH20" s="103"/>
      <c r="AI20" s="103"/>
      <c r="AJ20" s="107"/>
      <c r="AK20" s="107"/>
      <c r="AL20" s="107"/>
      <c r="AM20" s="107"/>
    </row>
    <row r="21" spans="1:49" s="104" customFormat="1" ht="13.5" x14ac:dyDescent="0.25">
      <c r="A21" s="101" t="s">
        <v>105</v>
      </c>
      <c r="B21" s="102" t="s">
        <v>102</v>
      </c>
      <c r="C21" s="102" t="s">
        <v>126</v>
      </c>
      <c r="D21" s="102" t="s">
        <v>127</v>
      </c>
      <c r="E21" s="102" t="s">
        <v>49</v>
      </c>
      <c r="F21" s="102" t="s">
        <v>128</v>
      </c>
      <c r="G21" s="102"/>
      <c r="H21" s="102" t="s">
        <v>129</v>
      </c>
      <c r="I21" s="102">
        <v>4252198</v>
      </c>
      <c r="J21" s="102"/>
      <c r="K21" s="102"/>
      <c r="L21" s="102"/>
      <c r="M21" s="102"/>
      <c r="N21" s="102"/>
      <c r="O21" s="153"/>
      <c r="P21" s="153"/>
      <c r="Q21" s="153"/>
      <c r="R21" s="153"/>
      <c r="S21" s="153">
        <v>4252198</v>
      </c>
      <c r="T21" s="153"/>
      <c r="U21" s="153"/>
      <c r="V21" s="153"/>
      <c r="W21" s="153"/>
      <c r="X21" s="153"/>
      <c r="Y21" s="153"/>
      <c r="Z21" s="103"/>
      <c r="AA21" s="103"/>
      <c r="AB21" s="103"/>
      <c r="AC21" s="103"/>
      <c r="AD21" s="103"/>
      <c r="AE21" s="103"/>
      <c r="AF21" s="103"/>
      <c r="AG21" s="103"/>
      <c r="AH21" s="103"/>
      <c r="AI21" s="103"/>
      <c r="AJ21" s="107"/>
      <c r="AK21" s="107"/>
      <c r="AL21" s="107"/>
      <c r="AM21" s="107"/>
    </row>
    <row r="22" spans="1:49" s="104" customFormat="1" ht="13.5" x14ac:dyDescent="0.25">
      <c r="A22" s="101" t="s">
        <v>105</v>
      </c>
      <c r="B22" s="102" t="s">
        <v>89</v>
      </c>
      <c r="C22" s="102" t="s">
        <v>104</v>
      </c>
      <c r="D22" s="102" t="s">
        <v>49</v>
      </c>
      <c r="E22" s="102" t="s">
        <v>101</v>
      </c>
      <c r="F22" s="102" t="s">
        <v>105</v>
      </c>
      <c r="G22" s="102"/>
      <c r="H22" s="102" t="s">
        <v>123</v>
      </c>
      <c r="I22" s="102">
        <v>-1250000</v>
      </c>
      <c r="J22" s="102"/>
      <c r="K22" s="102"/>
      <c r="L22" s="102"/>
      <c r="M22" s="102"/>
      <c r="N22" s="102"/>
      <c r="O22" s="153">
        <v>-1250000</v>
      </c>
      <c r="P22" s="153"/>
      <c r="Q22" s="153"/>
      <c r="R22" s="153"/>
      <c r="S22" s="153"/>
      <c r="T22" s="153"/>
      <c r="U22" s="153"/>
      <c r="V22" s="153"/>
      <c r="W22" s="153"/>
      <c r="X22" s="153"/>
      <c r="Y22" s="153"/>
      <c r="Z22" s="103"/>
      <c r="AA22" s="103"/>
      <c r="AB22" s="103"/>
      <c r="AC22" s="103"/>
      <c r="AD22" s="103"/>
      <c r="AE22" s="103"/>
      <c r="AF22" s="103"/>
      <c r="AG22" s="103"/>
      <c r="AH22" s="103"/>
      <c r="AI22" s="103"/>
      <c r="AJ22" s="107"/>
      <c r="AK22" s="107"/>
      <c r="AL22" s="107"/>
      <c r="AM22" s="107"/>
    </row>
    <row r="23" spans="1:49" s="104" customFormat="1" ht="13.5" x14ac:dyDescent="0.25">
      <c r="A23" s="101" t="s">
        <v>124</v>
      </c>
      <c r="B23" s="102" t="s">
        <v>89</v>
      </c>
      <c r="C23" s="102" t="s">
        <v>156</v>
      </c>
      <c r="D23" s="102" t="s">
        <v>49</v>
      </c>
      <c r="E23" s="102" t="s">
        <v>101</v>
      </c>
      <c r="F23" s="102"/>
      <c r="G23" s="102"/>
      <c r="H23" s="102" t="s">
        <v>157</v>
      </c>
      <c r="I23" s="102">
        <v>-49157</v>
      </c>
      <c r="J23" s="102"/>
      <c r="K23" s="102"/>
      <c r="L23" s="102"/>
      <c r="M23" s="102">
        <v>-49157</v>
      </c>
      <c r="N23" s="102"/>
      <c r="O23" s="153"/>
      <c r="P23" s="153"/>
      <c r="Q23" s="153"/>
      <c r="R23" s="153"/>
      <c r="S23" s="153"/>
      <c r="T23" s="153"/>
      <c r="U23" s="153"/>
      <c r="V23" s="153"/>
      <c r="W23" s="153"/>
      <c r="X23" s="153"/>
      <c r="Y23" s="153"/>
      <c r="Z23" s="103"/>
      <c r="AA23" s="103"/>
      <c r="AB23" s="103"/>
      <c r="AC23" s="103"/>
      <c r="AD23" s="103"/>
      <c r="AE23" s="103"/>
      <c r="AF23" s="103"/>
      <c r="AG23" s="103"/>
      <c r="AH23" s="103"/>
      <c r="AI23" s="103"/>
      <c r="AJ23" s="107"/>
      <c r="AK23" s="107"/>
      <c r="AL23" s="107"/>
      <c r="AM23" s="107"/>
    </row>
    <row r="24" spans="1:49" s="104" customFormat="1" ht="13.5" x14ac:dyDescent="0.25">
      <c r="A24" s="101" t="s">
        <v>124</v>
      </c>
      <c r="B24" s="102" t="s">
        <v>89</v>
      </c>
      <c r="C24" s="102" t="s">
        <v>107</v>
      </c>
      <c r="D24" s="102" t="s">
        <v>108</v>
      </c>
      <c r="E24" s="102" t="s">
        <v>49</v>
      </c>
      <c r="F24" s="102" t="s">
        <v>124</v>
      </c>
      <c r="G24" s="102"/>
      <c r="H24" s="102" t="s">
        <v>125</v>
      </c>
      <c r="I24" s="102">
        <v>-1015069</v>
      </c>
      <c r="J24" s="102"/>
      <c r="K24" s="102"/>
      <c r="L24" s="102"/>
      <c r="M24" s="102"/>
      <c r="N24" s="102"/>
      <c r="O24" s="153"/>
      <c r="P24" s="153"/>
      <c r="Q24" s="153"/>
      <c r="R24" s="153"/>
      <c r="S24" s="153">
        <v>-1015069</v>
      </c>
      <c r="T24" s="153"/>
      <c r="U24" s="153"/>
      <c r="V24" s="153"/>
      <c r="W24" s="153"/>
      <c r="X24" s="153"/>
      <c r="Y24" s="153"/>
      <c r="Z24" s="103"/>
      <c r="AA24" s="103"/>
      <c r="AB24" s="103"/>
      <c r="AC24" s="103"/>
      <c r="AD24" s="103"/>
      <c r="AE24" s="103"/>
      <c r="AF24" s="103"/>
      <c r="AG24" s="103"/>
      <c r="AH24" s="103"/>
      <c r="AI24" s="103"/>
      <c r="AJ24" s="107"/>
      <c r="AK24" s="107"/>
      <c r="AL24" s="107"/>
      <c r="AM24" s="107"/>
    </row>
    <row r="25" spans="1:49" s="104" customFormat="1" ht="13.5" x14ac:dyDescent="0.25">
      <c r="A25" s="101" t="s">
        <v>130</v>
      </c>
      <c r="B25" s="102" t="s">
        <v>102</v>
      </c>
      <c r="C25" s="102" t="s">
        <v>165</v>
      </c>
      <c r="D25" s="102" t="s">
        <v>166</v>
      </c>
      <c r="E25" s="102" t="s">
        <v>49</v>
      </c>
      <c r="F25" s="102" t="s">
        <v>131</v>
      </c>
      <c r="G25" s="102"/>
      <c r="H25" s="102" t="s">
        <v>167</v>
      </c>
      <c r="I25" s="102">
        <v>633480</v>
      </c>
      <c r="J25" s="102"/>
      <c r="K25" s="102"/>
      <c r="L25" s="102"/>
      <c r="M25" s="102"/>
      <c r="N25" s="102"/>
      <c r="O25" s="153"/>
      <c r="P25" s="153"/>
      <c r="Q25" s="153"/>
      <c r="R25" s="153"/>
      <c r="S25" s="153">
        <v>633480</v>
      </c>
      <c r="T25" s="153"/>
      <c r="U25" s="153"/>
      <c r="V25" s="153"/>
      <c r="W25" s="153"/>
      <c r="X25" s="153"/>
      <c r="Y25" s="153"/>
      <c r="Z25" s="103"/>
      <c r="AA25" s="103"/>
      <c r="AB25" s="103"/>
      <c r="AC25" s="103"/>
      <c r="AD25" s="103"/>
      <c r="AE25" s="103"/>
      <c r="AF25" s="103"/>
      <c r="AG25" s="103"/>
      <c r="AH25" s="103"/>
      <c r="AI25" s="103"/>
      <c r="AJ25" s="107"/>
      <c r="AK25" s="107"/>
      <c r="AL25" s="107"/>
      <c r="AM25" s="107"/>
    </row>
    <row r="26" spans="1:49" x14ac:dyDescent="0.25">
      <c r="A26" s="105" t="s">
        <v>130</v>
      </c>
      <c r="B26" s="106" t="s">
        <v>102</v>
      </c>
      <c r="C26" s="106" t="s">
        <v>168</v>
      </c>
      <c r="D26" s="106" t="s">
        <v>169</v>
      </c>
      <c r="E26" s="106" t="s">
        <v>49</v>
      </c>
      <c r="F26" s="106" t="s">
        <v>132</v>
      </c>
      <c r="G26" s="106"/>
      <c r="H26" s="106" t="s">
        <v>170</v>
      </c>
      <c r="I26" s="106">
        <v>473063</v>
      </c>
      <c r="J26" s="106"/>
      <c r="K26" s="106"/>
      <c r="L26" s="106"/>
      <c r="M26" s="106">
        <v>473063</v>
      </c>
      <c r="N26" s="106"/>
      <c r="O26" s="153"/>
      <c r="P26" s="153"/>
      <c r="Q26" s="153"/>
      <c r="R26" s="153"/>
      <c r="S26" s="153"/>
      <c r="T26" s="153"/>
      <c r="U26" s="153"/>
      <c r="V26" s="153"/>
      <c r="W26" s="153"/>
      <c r="X26" s="153"/>
      <c r="Y26" s="153"/>
      <c r="Z26" s="103"/>
      <c r="AA26" s="103"/>
      <c r="AB26" s="103"/>
      <c r="AC26" s="103"/>
      <c r="AD26" s="103"/>
      <c r="AE26" s="103"/>
      <c r="AF26" s="55"/>
      <c r="AG26" s="55"/>
      <c r="AH26" s="55"/>
      <c r="AI26" s="55"/>
      <c r="AJ26" s="25"/>
      <c r="AK26" s="25"/>
      <c r="AL26" s="25"/>
      <c r="AM26" s="25"/>
      <c r="AN26" s="9"/>
      <c r="AO26" s="9"/>
      <c r="AP26" s="9"/>
      <c r="AQ26" s="9"/>
      <c r="AR26" s="9"/>
      <c r="AS26" s="9"/>
      <c r="AT26" s="9"/>
      <c r="AU26" s="9"/>
      <c r="AV26" s="9"/>
      <c r="AW26" s="9"/>
    </row>
    <row r="27" spans="1:49" x14ac:dyDescent="0.25">
      <c r="A27" s="111" t="s">
        <v>130</v>
      </c>
      <c r="B27" s="112" t="s">
        <v>152</v>
      </c>
      <c r="C27" s="112" t="s">
        <v>211</v>
      </c>
      <c r="D27" s="112" t="s">
        <v>49</v>
      </c>
      <c r="E27" s="112" t="s">
        <v>101</v>
      </c>
      <c r="F27" s="112" t="s">
        <v>131</v>
      </c>
      <c r="G27" s="112" t="s">
        <v>212</v>
      </c>
      <c r="H27" s="112" t="s">
        <v>213</v>
      </c>
      <c r="I27" s="112">
        <v>-449400</v>
      </c>
      <c r="J27" s="112"/>
      <c r="K27" s="112"/>
      <c r="L27" s="112"/>
      <c r="M27" s="112">
        <v>-449400</v>
      </c>
      <c r="N27" s="112"/>
      <c r="O27" s="153"/>
      <c r="P27" s="153"/>
      <c r="Q27" s="153"/>
      <c r="R27" s="153"/>
      <c r="S27" s="153"/>
      <c r="T27" s="153"/>
      <c r="U27" s="153"/>
      <c r="V27" s="153"/>
      <c r="W27" s="153"/>
      <c r="X27" s="153"/>
      <c r="Y27" s="153"/>
      <c r="Z27" s="103"/>
      <c r="AA27" s="103"/>
      <c r="AB27" s="103"/>
      <c r="AC27" s="103"/>
      <c r="AD27" s="103"/>
      <c r="AE27" s="103"/>
      <c r="AF27" s="55"/>
      <c r="AG27" s="55"/>
      <c r="AH27" s="55"/>
      <c r="AI27" s="55"/>
      <c r="AJ27" s="25"/>
      <c r="AK27" s="25"/>
      <c r="AL27" s="25"/>
      <c r="AM27" s="25"/>
      <c r="AN27" s="9"/>
      <c r="AO27" s="9"/>
      <c r="AP27" s="9"/>
      <c r="AQ27" s="9"/>
      <c r="AR27" s="9"/>
      <c r="AS27" s="9"/>
      <c r="AT27" s="9"/>
      <c r="AU27" s="9"/>
      <c r="AV27" s="9"/>
      <c r="AW27" s="9"/>
    </row>
    <row r="28" spans="1:49" x14ac:dyDescent="0.25">
      <c r="A28" s="113" t="s">
        <v>130</v>
      </c>
      <c r="B28" s="114" t="s">
        <v>152</v>
      </c>
      <c r="C28" s="114" t="s">
        <v>211</v>
      </c>
      <c r="D28" s="114" t="s">
        <v>49</v>
      </c>
      <c r="E28" s="114" t="s">
        <v>101</v>
      </c>
      <c r="F28" s="114" t="s">
        <v>132</v>
      </c>
      <c r="G28" s="114" t="s">
        <v>214</v>
      </c>
      <c r="H28" s="114" t="s">
        <v>213</v>
      </c>
      <c r="I28" s="114">
        <v>-324440</v>
      </c>
      <c r="J28" s="114"/>
      <c r="K28" s="114"/>
      <c r="L28" s="114"/>
      <c r="M28" s="114">
        <v>-324440</v>
      </c>
      <c r="N28" s="114"/>
      <c r="O28" s="153"/>
      <c r="P28" s="153"/>
      <c r="Q28" s="153"/>
      <c r="R28" s="153"/>
      <c r="S28" s="153"/>
      <c r="T28" s="153"/>
      <c r="U28" s="153"/>
      <c r="V28" s="153"/>
      <c r="W28" s="153"/>
      <c r="X28" s="153"/>
      <c r="Y28" s="153"/>
      <c r="Z28" s="103"/>
      <c r="AA28" s="103"/>
      <c r="AB28" s="103"/>
      <c r="AC28" s="103"/>
      <c r="AD28" s="103"/>
      <c r="AE28" s="103"/>
      <c r="AF28" s="55"/>
      <c r="AG28" s="55"/>
      <c r="AH28" s="55"/>
      <c r="AI28" s="55"/>
      <c r="AN28" s="9"/>
      <c r="AO28" s="9"/>
      <c r="AP28" s="9"/>
      <c r="AQ28" s="9"/>
      <c r="AR28" s="9"/>
      <c r="AS28" s="9"/>
      <c r="AT28" s="9"/>
      <c r="AU28" s="9"/>
      <c r="AV28" s="9"/>
      <c r="AW28" s="9"/>
    </row>
    <row r="29" spans="1:49" x14ac:dyDescent="0.25">
      <c r="A29" s="125" t="s">
        <v>130</v>
      </c>
      <c r="B29" s="127" t="s">
        <v>89</v>
      </c>
      <c r="C29" s="127" t="s">
        <v>126</v>
      </c>
      <c r="D29" s="127" t="s">
        <v>49</v>
      </c>
      <c r="E29" s="127" t="s">
        <v>127</v>
      </c>
      <c r="F29" s="127" t="s">
        <v>130</v>
      </c>
      <c r="G29" s="127"/>
      <c r="H29" s="127" t="s">
        <v>129</v>
      </c>
      <c r="I29" s="127">
        <v>-1200000</v>
      </c>
      <c r="J29" s="127"/>
      <c r="K29" s="127"/>
      <c r="L29" s="127"/>
      <c r="M29" s="127"/>
      <c r="N29" s="127"/>
      <c r="O29" s="153"/>
      <c r="P29" s="153"/>
      <c r="Q29" s="153"/>
      <c r="R29" s="153"/>
      <c r="S29" s="153">
        <v>-1200000</v>
      </c>
      <c r="T29" s="153"/>
      <c r="U29" s="153"/>
      <c r="V29" s="153"/>
      <c r="W29" s="153"/>
      <c r="X29" s="153"/>
      <c r="Y29" s="153"/>
      <c r="Z29" s="103"/>
      <c r="AA29" s="103"/>
      <c r="AB29" s="103"/>
      <c r="AC29" s="103"/>
      <c r="AD29" s="103"/>
      <c r="AE29" s="103"/>
      <c r="AF29" s="55"/>
      <c r="AG29" s="55"/>
      <c r="AH29" s="55"/>
      <c r="AI29" s="55"/>
      <c r="AN29" s="9"/>
      <c r="AO29" s="9"/>
      <c r="AP29" s="9"/>
      <c r="AQ29" s="9"/>
      <c r="AR29" s="9"/>
      <c r="AS29" s="9"/>
      <c r="AT29" s="9"/>
      <c r="AU29" s="9"/>
      <c r="AV29" s="9"/>
      <c r="AW29" s="9"/>
    </row>
    <row r="30" spans="1:49" x14ac:dyDescent="0.25">
      <c r="A30" s="126" t="s">
        <v>130</v>
      </c>
      <c r="B30" s="128" t="s">
        <v>171</v>
      </c>
      <c r="C30" s="128" t="s">
        <v>172</v>
      </c>
      <c r="D30" s="128" t="s">
        <v>49</v>
      </c>
      <c r="E30" s="128" t="s">
        <v>101</v>
      </c>
      <c r="F30" s="128" t="s">
        <v>112</v>
      </c>
      <c r="G30" s="128" t="s">
        <v>173</v>
      </c>
      <c r="H30" s="128" t="s">
        <v>174</v>
      </c>
      <c r="I30" s="128">
        <v>-80000000</v>
      </c>
      <c r="J30" s="128"/>
      <c r="K30" s="128"/>
      <c r="L30" s="128"/>
      <c r="M30" s="128"/>
      <c r="N30" s="128"/>
      <c r="O30" s="153"/>
      <c r="P30" s="153"/>
      <c r="Q30" s="153"/>
      <c r="R30" s="153">
        <v>-80000000</v>
      </c>
      <c r="S30" s="153"/>
      <c r="T30" s="153"/>
      <c r="U30" s="153"/>
      <c r="V30" s="153"/>
      <c r="W30" s="153"/>
      <c r="X30" s="153"/>
      <c r="Y30" s="153"/>
      <c r="Z30" s="103"/>
      <c r="AA30" s="103"/>
      <c r="AB30" s="103"/>
      <c r="AC30" s="103"/>
      <c r="AD30" s="103"/>
      <c r="AE30" s="103"/>
      <c r="AF30" s="55"/>
      <c r="AG30" s="55"/>
      <c r="AH30" s="55"/>
      <c r="AI30" s="55"/>
      <c r="AN30" s="9"/>
      <c r="AO30" s="9"/>
      <c r="AP30" s="9"/>
      <c r="AQ30" s="9"/>
      <c r="AR30" s="9"/>
      <c r="AS30" s="9"/>
      <c r="AT30" s="9"/>
      <c r="AU30" s="9"/>
      <c r="AV30" s="9"/>
      <c r="AW30" s="9"/>
    </row>
    <row r="31" spans="1:49" x14ac:dyDescent="0.25">
      <c r="A31" s="132" t="s">
        <v>131</v>
      </c>
      <c r="B31" s="134" t="s">
        <v>102</v>
      </c>
      <c r="C31" s="134" t="s">
        <v>203</v>
      </c>
      <c r="D31" s="134" t="s">
        <v>166</v>
      </c>
      <c r="E31" s="134" t="s">
        <v>49</v>
      </c>
      <c r="F31" s="134" t="s">
        <v>216</v>
      </c>
      <c r="G31" s="134"/>
      <c r="H31" s="134" t="s">
        <v>167</v>
      </c>
      <c r="I31" s="134">
        <v>196124</v>
      </c>
      <c r="J31" s="134"/>
      <c r="K31" s="134"/>
      <c r="L31" s="134"/>
      <c r="M31" s="134"/>
      <c r="N31" s="134"/>
      <c r="O31" s="153"/>
      <c r="P31" s="153"/>
      <c r="Q31" s="153"/>
      <c r="R31" s="153"/>
      <c r="S31" s="153">
        <v>196124</v>
      </c>
      <c r="T31" s="153"/>
      <c r="U31" s="153"/>
      <c r="V31" s="153"/>
      <c r="W31" s="153"/>
      <c r="X31" s="153"/>
      <c r="Y31" s="153"/>
      <c r="Z31" s="103"/>
      <c r="AA31" s="103"/>
      <c r="AB31" s="103"/>
      <c r="AC31" s="103"/>
      <c r="AD31" s="103"/>
      <c r="AE31" s="103"/>
      <c r="AF31" s="55"/>
      <c r="AG31" s="55"/>
      <c r="AH31" s="55"/>
      <c r="AI31" s="55"/>
      <c r="AN31" s="9"/>
      <c r="AO31" s="9"/>
      <c r="AP31" s="9"/>
      <c r="AQ31" s="9"/>
      <c r="AR31" s="9"/>
      <c r="AS31" s="9"/>
      <c r="AT31" s="9"/>
      <c r="AU31" s="9"/>
      <c r="AV31" s="9"/>
      <c r="AW31" s="9"/>
    </row>
    <row r="32" spans="1:49" x14ac:dyDescent="0.25">
      <c r="A32" s="133" t="s">
        <v>131</v>
      </c>
      <c r="B32" s="135" t="s">
        <v>102</v>
      </c>
      <c r="C32" s="135" t="s">
        <v>204</v>
      </c>
      <c r="D32" s="135" t="s">
        <v>169</v>
      </c>
      <c r="E32" s="135" t="s">
        <v>49</v>
      </c>
      <c r="F32" s="135" t="s">
        <v>133</v>
      </c>
      <c r="G32" s="135"/>
      <c r="H32" s="135" t="s">
        <v>205</v>
      </c>
      <c r="I32" s="135">
        <v>1212842</v>
      </c>
      <c r="J32" s="135"/>
      <c r="K32" s="135"/>
      <c r="L32" s="135"/>
      <c r="M32" s="135"/>
      <c r="N32" s="135"/>
      <c r="O32" s="153"/>
      <c r="P32" s="153"/>
      <c r="Q32" s="153"/>
      <c r="R32" s="153"/>
      <c r="S32" s="153">
        <v>1212842</v>
      </c>
      <c r="T32" s="153"/>
      <c r="U32" s="153"/>
      <c r="V32" s="153"/>
      <c r="W32" s="153"/>
      <c r="X32" s="153"/>
      <c r="Y32" s="153"/>
      <c r="Z32" s="103"/>
      <c r="AA32" s="103"/>
      <c r="AB32" s="103"/>
      <c r="AC32" s="103"/>
      <c r="AD32" s="103"/>
      <c r="AE32" s="103"/>
      <c r="AF32" s="55"/>
      <c r="AG32" s="55"/>
      <c r="AH32" s="55"/>
      <c r="AI32" s="55"/>
      <c r="AN32" s="9"/>
      <c r="AO32" s="9"/>
      <c r="AP32" s="9"/>
      <c r="AQ32" s="9"/>
      <c r="AR32" s="9"/>
      <c r="AS32" s="9"/>
      <c r="AT32" s="9"/>
      <c r="AU32" s="9"/>
      <c r="AV32" s="9"/>
      <c r="AW32" s="9"/>
    </row>
    <row r="33" spans="1:49" x14ac:dyDescent="0.25">
      <c r="A33" s="105" t="s">
        <v>131</v>
      </c>
      <c r="B33" s="106" t="s">
        <v>102</v>
      </c>
      <c r="C33" s="106" t="s">
        <v>206</v>
      </c>
      <c r="D33" s="106" t="s">
        <v>169</v>
      </c>
      <c r="E33" s="106" t="s">
        <v>49</v>
      </c>
      <c r="F33" s="106" t="s">
        <v>133</v>
      </c>
      <c r="G33" s="106"/>
      <c r="H33" s="106" t="s">
        <v>207</v>
      </c>
      <c r="I33" s="106">
        <v>560000</v>
      </c>
      <c r="J33" s="106"/>
      <c r="K33" s="106"/>
      <c r="L33" s="106"/>
      <c r="M33" s="106">
        <v>560000</v>
      </c>
      <c r="N33" s="106"/>
      <c r="O33" s="153"/>
      <c r="P33" s="153"/>
      <c r="Q33" s="153"/>
      <c r="R33" s="153"/>
      <c r="S33" s="153"/>
      <c r="T33" s="153"/>
      <c r="U33" s="153"/>
      <c r="V33" s="153"/>
      <c r="W33" s="153"/>
      <c r="X33" s="153"/>
      <c r="Y33" s="153"/>
      <c r="Z33" s="103"/>
      <c r="AA33" s="103"/>
      <c r="AB33" s="103"/>
      <c r="AC33" s="103"/>
      <c r="AD33" s="103"/>
      <c r="AE33" s="103"/>
      <c r="AF33" s="55"/>
      <c r="AG33" s="55"/>
      <c r="AH33" s="55"/>
      <c r="AI33" s="55"/>
      <c r="AN33" s="9"/>
      <c r="AO33" s="9"/>
      <c r="AP33" s="9"/>
      <c r="AQ33" s="9"/>
      <c r="AR33" s="9"/>
      <c r="AS33" s="9"/>
      <c r="AT33" s="9"/>
      <c r="AU33" s="9"/>
      <c r="AV33" s="9"/>
      <c r="AW33" s="9"/>
    </row>
    <row r="34" spans="1:49" x14ac:dyDescent="0.25">
      <c r="A34" s="142" t="s">
        <v>131</v>
      </c>
      <c r="B34" s="144" t="s">
        <v>155</v>
      </c>
      <c r="C34" s="144" t="s">
        <v>211</v>
      </c>
      <c r="D34" s="144" t="s">
        <v>101</v>
      </c>
      <c r="E34" s="144" t="s">
        <v>49</v>
      </c>
      <c r="F34" s="144" t="s">
        <v>131</v>
      </c>
      <c r="G34" s="144" t="s">
        <v>212</v>
      </c>
      <c r="H34" s="144" t="s">
        <v>213</v>
      </c>
      <c r="I34" s="144">
        <v>449400</v>
      </c>
      <c r="J34" s="144"/>
      <c r="K34" s="144"/>
      <c r="L34" s="144"/>
      <c r="M34" s="144">
        <v>449400</v>
      </c>
      <c r="N34" s="144"/>
      <c r="O34" s="153"/>
      <c r="P34" s="153"/>
      <c r="Q34" s="153"/>
      <c r="R34" s="153"/>
      <c r="S34" s="153"/>
      <c r="T34" s="153"/>
      <c r="U34" s="153"/>
      <c r="V34" s="153"/>
      <c r="W34" s="153"/>
      <c r="X34" s="153"/>
      <c r="Y34" s="153"/>
      <c r="Z34" s="103"/>
      <c r="AA34" s="103"/>
      <c r="AB34" s="103"/>
      <c r="AC34" s="103"/>
      <c r="AD34" s="103"/>
      <c r="AE34" s="103"/>
      <c r="AF34" s="55"/>
      <c r="AG34" s="55"/>
      <c r="AH34" s="55"/>
      <c r="AI34" s="55"/>
      <c r="AN34" s="9"/>
      <c r="AO34" s="9"/>
      <c r="AP34" s="9"/>
      <c r="AQ34" s="9"/>
      <c r="AR34" s="9"/>
      <c r="AS34" s="9"/>
      <c r="AT34" s="9"/>
      <c r="AU34" s="9"/>
      <c r="AV34" s="9"/>
      <c r="AW34" s="9"/>
    </row>
    <row r="35" spans="1:49" x14ac:dyDescent="0.25">
      <c r="A35" s="143" t="s">
        <v>131</v>
      </c>
      <c r="B35" s="145" t="s">
        <v>89</v>
      </c>
      <c r="C35" s="145" t="s">
        <v>126</v>
      </c>
      <c r="D35" s="145" t="s">
        <v>49</v>
      </c>
      <c r="E35" s="145" t="s">
        <v>127</v>
      </c>
      <c r="F35" s="145" t="s">
        <v>131</v>
      </c>
      <c r="G35" s="145"/>
      <c r="H35" s="145" t="s">
        <v>129</v>
      </c>
      <c r="I35" s="145">
        <v>-2000000</v>
      </c>
      <c r="J35" s="145"/>
      <c r="K35" s="145"/>
      <c r="L35" s="145"/>
      <c r="M35" s="145"/>
      <c r="N35" s="145"/>
      <c r="O35" s="153"/>
      <c r="P35" s="153"/>
      <c r="Q35" s="153"/>
      <c r="R35" s="153"/>
      <c r="S35" s="153">
        <v>-2000000</v>
      </c>
      <c r="T35" s="153"/>
      <c r="U35" s="153"/>
      <c r="V35" s="153"/>
      <c r="W35" s="153"/>
      <c r="X35" s="153"/>
      <c r="Y35" s="153"/>
      <c r="Z35" s="103"/>
      <c r="AA35" s="103"/>
      <c r="AB35" s="103"/>
      <c r="AC35" s="103"/>
      <c r="AD35" s="103"/>
      <c r="AE35" s="103"/>
      <c r="AF35" s="55"/>
      <c r="AG35" s="55"/>
      <c r="AH35" s="55"/>
      <c r="AI35" s="55"/>
      <c r="AN35" s="9"/>
      <c r="AO35" s="9"/>
      <c r="AP35" s="9"/>
      <c r="AQ35" s="9"/>
      <c r="AR35" s="9"/>
      <c r="AS35" s="9"/>
      <c r="AT35" s="9"/>
      <c r="AU35" s="9"/>
      <c r="AV35" s="9"/>
      <c r="AW35" s="9"/>
    </row>
    <row r="36" spans="1:49" x14ac:dyDescent="0.25">
      <c r="A36" s="143" t="s">
        <v>131</v>
      </c>
      <c r="B36" s="145" t="s">
        <v>89</v>
      </c>
      <c r="C36" s="145" t="s">
        <v>165</v>
      </c>
      <c r="D36" s="145" t="s">
        <v>49</v>
      </c>
      <c r="E36" s="145" t="s">
        <v>166</v>
      </c>
      <c r="F36" s="145" t="s">
        <v>131</v>
      </c>
      <c r="G36" s="145"/>
      <c r="H36" s="145" t="s">
        <v>167</v>
      </c>
      <c r="I36" s="145">
        <v>-633480</v>
      </c>
      <c r="J36" s="145"/>
      <c r="K36" s="145"/>
      <c r="L36" s="145"/>
      <c r="M36" s="145"/>
      <c r="N36" s="145"/>
      <c r="O36" s="153"/>
      <c r="P36" s="153"/>
      <c r="Q36" s="153"/>
      <c r="R36" s="153"/>
      <c r="S36" s="153">
        <v>-633480</v>
      </c>
      <c r="T36" s="153"/>
      <c r="U36" s="153"/>
      <c r="V36" s="153"/>
      <c r="W36" s="153"/>
      <c r="X36" s="153"/>
      <c r="Y36" s="153"/>
      <c r="Z36" s="103"/>
      <c r="AA36" s="103"/>
      <c r="AB36" s="103"/>
      <c r="AC36" s="103"/>
      <c r="AD36" s="103"/>
      <c r="AE36" s="103"/>
      <c r="AF36" s="55"/>
      <c r="AG36" s="55"/>
      <c r="AH36" s="55"/>
      <c r="AI36" s="55"/>
      <c r="AN36" s="9"/>
      <c r="AO36" s="9"/>
      <c r="AP36" s="9"/>
      <c r="AQ36" s="9"/>
      <c r="AR36" s="9"/>
      <c r="AS36" s="9"/>
      <c r="AT36" s="9"/>
      <c r="AU36" s="9"/>
      <c r="AV36" s="9"/>
      <c r="AW36" s="9"/>
    </row>
    <row r="37" spans="1:49" x14ac:dyDescent="0.25">
      <c r="A37" s="143" t="s">
        <v>131</v>
      </c>
      <c r="B37" s="145" t="s">
        <v>171</v>
      </c>
      <c r="C37" s="145" t="s">
        <v>208</v>
      </c>
      <c r="D37" s="145" t="s">
        <v>49</v>
      </c>
      <c r="E37" s="145" t="s">
        <v>166</v>
      </c>
      <c r="F37" s="145" t="s">
        <v>112</v>
      </c>
      <c r="G37" s="145" t="s">
        <v>209</v>
      </c>
      <c r="H37" s="145" t="s">
        <v>210</v>
      </c>
      <c r="I37" s="145">
        <v>-105000</v>
      </c>
      <c r="J37" s="145"/>
      <c r="K37" s="145"/>
      <c r="L37" s="145"/>
      <c r="M37" s="145">
        <v>-105000</v>
      </c>
      <c r="N37" s="145"/>
      <c r="O37" s="153"/>
      <c r="P37" s="153"/>
      <c r="Q37" s="153"/>
      <c r="R37" s="153"/>
      <c r="S37" s="153"/>
      <c r="T37" s="153"/>
      <c r="U37" s="153"/>
      <c r="V37" s="153"/>
      <c r="W37" s="153"/>
      <c r="X37" s="153"/>
      <c r="Y37" s="153"/>
      <c r="Z37" s="103"/>
      <c r="AA37" s="103"/>
      <c r="AB37" s="103"/>
      <c r="AC37" s="103"/>
      <c r="AD37" s="103"/>
      <c r="AE37" s="103"/>
      <c r="AF37" s="55"/>
      <c r="AG37" s="55"/>
      <c r="AH37" s="55"/>
      <c r="AI37" s="55"/>
      <c r="AN37" s="9"/>
      <c r="AO37" s="9"/>
      <c r="AP37" s="9"/>
      <c r="AQ37" s="9"/>
      <c r="AR37" s="9"/>
      <c r="AS37" s="9"/>
      <c r="AT37" s="9"/>
      <c r="AU37" s="9"/>
      <c r="AV37" s="9"/>
      <c r="AW37" s="9"/>
    </row>
    <row r="38" spans="1:49" x14ac:dyDescent="0.25">
      <c r="A38" s="143" t="s">
        <v>132</v>
      </c>
      <c r="B38" s="145" t="s">
        <v>102</v>
      </c>
      <c r="C38" s="145" t="s">
        <v>266</v>
      </c>
      <c r="D38" s="145" t="s">
        <v>169</v>
      </c>
      <c r="E38" s="145" t="s">
        <v>49</v>
      </c>
      <c r="F38" s="145" t="s">
        <v>133</v>
      </c>
      <c r="G38" s="145"/>
      <c r="H38" s="145" t="s">
        <v>205</v>
      </c>
      <c r="I38" s="145">
        <v>486888</v>
      </c>
      <c r="J38" s="145"/>
      <c r="K38" s="145"/>
      <c r="L38" s="145"/>
      <c r="M38" s="145"/>
      <c r="N38" s="145"/>
      <c r="O38" s="153"/>
      <c r="P38" s="153"/>
      <c r="Q38" s="153"/>
      <c r="R38" s="153"/>
      <c r="S38" s="153">
        <v>486888</v>
      </c>
      <c r="T38" s="153"/>
      <c r="U38" s="153"/>
      <c r="V38" s="153"/>
      <c r="W38" s="153"/>
      <c r="X38" s="153"/>
      <c r="Y38" s="153"/>
      <c r="Z38" s="103"/>
      <c r="AA38" s="103"/>
      <c r="AB38" s="103"/>
      <c r="AC38" s="103"/>
      <c r="AD38" s="103"/>
      <c r="AE38" s="103"/>
      <c r="AF38" s="55"/>
      <c r="AG38" s="55"/>
      <c r="AH38" s="55"/>
      <c r="AI38" s="55"/>
      <c r="AN38" s="9"/>
      <c r="AO38" s="9"/>
      <c r="AP38" s="9"/>
      <c r="AQ38" s="9"/>
      <c r="AR38" s="9"/>
      <c r="AS38" s="9"/>
      <c r="AT38" s="9"/>
      <c r="AU38" s="9"/>
      <c r="AV38" s="9"/>
      <c r="AW38" s="9"/>
    </row>
    <row r="39" spans="1:49" x14ac:dyDescent="0.25">
      <c r="A39" s="143" t="s">
        <v>132</v>
      </c>
      <c r="B39" s="145" t="s">
        <v>155</v>
      </c>
      <c r="C39" s="145" t="s">
        <v>211</v>
      </c>
      <c r="D39" s="145" t="s">
        <v>101</v>
      </c>
      <c r="E39" s="145" t="s">
        <v>49</v>
      </c>
      <c r="F39" s="145" t="s">
        <v>132</v>
      </c>
      <c r="G39" s="145" t="s">
        <v>214</v>
      </c>
      <c r="H39" s="145" t="s">
        <v>213</v>
      </c>
      <c r="I39" s="145">
        <v>324440</v>
      </c>
      <c r="J39" s="145"/>
      <c r="K39" s="145"/>
      <c r="L39" s="145"/>
      <c r="M39" s="145">
        <v>324440</v>
      </c>
      <c r="N39" s="145"/>
      <c r="O39" s="153"/>
      <c r="P39" s="153"/>
      <c r="Q39" s="153"/>
      <c r="R39" s="153"/>
      <c r="S39" s="153"/>
      <c r="T39" s="153"/>
      <c r="U39" s="153"/>
      <c r="V39" s="153"/>
      <c r="W39" s="153"/>
      <c r="X39" s="153"/>
      <c r="Y39" s="153"/>
      <c r="Z39" s="103"/>
      <c r="AA39" s="103"/>
      <c r="AB39" s="103"/>
      <c r="AC39" s="103"/>
      <c r="AD39" s="103"/>
      <c r="AE39" s="103"/>
      <c r="AF39" s="55"/>
      <c r="AG39" s="55"/>
      <c r="AH39" s="55"/>
      <c r="AI39" s="55"/>
      <c r="AN39" s="9"/>
      <c r="AO39" s="9"/>
      <c r="AP39" s="9"/>
      <c r="AQ39" s="9"/>
      <c r="AR39" s="9"/>
      <c r="AS39" s="9"/>
      <c r="AT39" s="9"/>
      <c r="AU39" s="9"/>
      <c r="AV39" s="9"/>
      <c r="AW39" s="9"/>
    </row>
    <row r="40" spans="1:49" x14ac:dyDescent="0.25">
      <c r="A40" s="143" t="s">
        <v>132</v>
      </c>
      <c r="B40" s="145" t="s">
        <v>89</v>
      </c>
      <c r="C40" s="145" t="s">
        <v>126</v>
      </c>
      <c r="D40" s="145" t="s">
        <v>49</v>
      </c>
      <c r="E40" s="145" t="s">
        <v>127</v>
      </c>
      <c r="F40" s="145" t="s">
        <v>132</v>
      </c>
      <c r="G40" s="145"/>
      <c r="H40" s="145" t="s">
        <v>129</v>
      </c>
      <c r="I40" s="145">
        <v>-480698</v>
      </c>
      <c r="J40" s="145"/>
      <c r="K40" s="145"/>
      <c r="L40" s="145"/>
      <c r="M40" s="145"/>
      <c r="N40" s="145"/>
      <c r="O40" s="153"/>
      <c r="P40" s="153"/>
      <c r="Q40" s="153"/>
      <c r="R40" s="153"/>
      <c r="S40" s="153">
        <v>-480698</v>
      </c>
      <c r="T40" s="153"/>
      <c r="U40" s="153"/>
      <c r="V40" s="153"/>
      <c r="W40" s="153"/>
      <c r="X40" s="153"/>
      <c r="Y40" s="153"/>
      <c r="Z40" s="103"/>
      <c r="AA40" s="103"/>
      <c r="AB40" s="103"/>
      <c r="AC40" s="103"/>
      <c r="AD40" s="103"/>
      <c r="AE40" s="103"/>
      <c r="AF40" s="55"/>
      <c r="AG40" s="55"/>
      <c r="AH40" s="55"/>
      <c r="AI40" s="55"/>
      <c r="AN40" s="9"/>
      <c r="AO40" s="9"/>
      <c r="AP40" s="9"/>
      <c r="AQ40" s="9"/>
      <c r="AR40" s="9"/>
      <c r="AS40" s="9"/>
      <c r="AT40" s="9"/>
      <c r="AU40" s="9"/>
      <c r="AV40" s="9"/>
      <c r="AW40" s="9"/>
    </row>
    <row r="41" spans="1:49" x14ac:dyDescent="0.25">
      <c r="A41" s="143" t="s">
        <v>132</v>
      </c>
      <c r="B41" s="145" t="s">
        <v>89</v>
      </c>
      <c r="C41" s="145" t="s">
        <v>203</v>
      </c>
      <c r="D41" s="145" t="s">
        <v>49</v>
      </c>
      <c r="E41" s="145" t="s">
        <v>166</v>
      </c>
      <c r="F41" s="145" t="s">
        <v>132</v>
      </c>
      <c r="G41" s="145"/>
      <c r="H41" s="145" t="s">
        <v>167</v>
      </c>
      <c r="I41" s="145">
        <v>-25000</v>
      </c>
      <c r="J41" s="145"/>
      <c r="K41" s="145"/>
      <c r="L41" s="145"/>
      <c r="M41" s="145"/>
      <c r="N41" s="145"/>
      <c r="O41" s="153"/>
      <c r="P41" s="153"/>
      <c r="Q41" s="153"/>
      <c r="R41" s="153"/>
      <c r="S41" s="153">
        <v>-25000</v>
      </c>
      <c r="T41" s="153"/>
      <c r="U41" s="153"/>
      <c r="V41" s="153"/>
      <c r="W41" s="153"/>
      <c r="X41" s="153"/>
      <c r="Y41" s="153"/>
      <c r="Z41" s="103"/>
      <c r="AA41" s="103"/>
      <c r="AB41" s="103"/>
      <c r="AC41" s="103"/>
      <c r="AD41" s="103"/>
      <c r="AE41" s="103"/>
      <c r="AF41" s="55"/>
      <c r="AG41" s="55"/>
      <c r="AH41" s="55"/>
      <c r="AI41" s="55"/>
      <c r="AN41" s="9"/>
      <c r="AO41" s="9"/>
      <c r="AP41" s="9"/>
      <c r="AQ41" s="9"/>
      <c r="AR41" s="9"/>
      <c r="AS41" s="9"/>
      <c r="AT41" s="9"/>
      <c r="AU41" s="9"/>
      <c r="AV41" s="9"/>
      <c r="AW41" s="9"/>
    </row>
    <row r="42" spans="1:49" x14ac:dyDescent="0.25">
      <c r="A42" s="143" t="s">
        <v>132</v>
      </c>
      <c r="B42" s="145" t="s">
        <v>89</v>
      </c>
      <c r="C42" s="145" t="s">
        <v>168</v>
      </c>
      <c r="D42" s="145" t="s">
        <v>49</v>
      </c>
      <c r="E42" s="145" t="s">
        <v>169</v>
      </c>
      <c r="F42" s="145" t="s">
        <v>132</v>
      </c>
      <c r="G42" s="145"/>
      <c r="H42" s="145" t="s">
        <v>170</v>
      </c>
      <c r="I42" s="145">
        <v>-473063</v>
      </c>
      <c r="J42" s="145"/>
      <c r="K42" s="145"/>
      <c r="L42" s="145"/>
      <c r="M42" s="145"/>
      <c r="N42" s="145"/>
      <c r="O42" s="153"/>
      <c r="P42" s="153"/>
      <c r="Q42" s="153"/>
      <c r="R42" s="153"/>
      <c r="S42" s="153">
        <v>-473063</v>
      </c>
      <c r="T42" s="153"/>
      <c r="U42" s="153"/>
      <c r="V42" s="153"/>
      <c r="W42" s="153"/>
      <c r="X42" s="153"/>
      <c r="Y42" s="153"/>
      <c r="Z42" s="103"/>
      <c r="AA42" s="103"/>
      <c r="AB42" s="103"/>
      <c r="AC42" s="103"/>
      <c r="AD42" s="103"/>
      <c r="AE42" s="103"/>
      <c r="AF42" s="55"/>
      <c r="AG42" s="55"/>
      <c r="AH42" s="55"/>
      <c r="AI42" s="55"/>
      <c r="AN42" s="9"/>
      <c r="AO42" s="9"/>
      <c r="AP42" s="9"/>
      <c r="AQ42" s="9"/>
      <c r="AR42" s="9"/>
      <c r="AS42" s="9"/>
      <c r="AT42" s="9"/>
      <c r="AU42" s="9"/>
      <c r="AV42" s="9"/>
      <c r="AW42" s="9"/>
    </row>
    <row r="43" spans="1:49" x14ac:dyDescent="0.25">
      <c r="A43" s="143" t="s">
        <v>132</v>
      </c>
      <c r="B43" s="145" t="s">
        <v>90</v>
      </c>
      <c r="C43" s="145" t="s">
        <v>223</v>
      </c>
      <c r="D43" s="145" t="s">
        <v>111</v>
      </c>
      <c r="E43" s="145" t="s">
        <v>49</v>
      </c>
      <c r="F43" s="145" t="s">
        <v>133</v>
      </c>
      <c r="G43" s="145"/>
      <c r="H43" s="145" t="s">
        <v>224</v>
      </c>
      <c r="I43" s="145">
        <v>776983</v>
      </c>
      <c r="J43" s="145"/>
      <c r="K43" s="145"/>
      <c r="L43" s="145"/>
      <c r="M43" s="145">
        <v>776983</v>
      </c>
      <c r="N43" s="145"/>
      <c r="O43" s="153"/>
      <c r="P43" s="153"/>
      <c r="Q43" s="153"/>
      <c r="R43" s="153"/>
      <c r="S43" s="153"/>
      <c r="T43" s="153"/>
      <c r="U43" s="153"/>
      <c r="V43" s="153"/>
      <c r="W43" s="153"/>
      <c r="X43" s="153"/>
      <c r="Y43" s="153"/>
      <c r="Z43" s="103"/>
      <c r="AA43" s="103"/>
      <c r="AB43" s="103"/>
      <c r="AC43" s="103"/>
      <c r="AD43" s="103"/>
      <c r="AE43" s="103"/>
      <c r="AF43" s="55"/>
      <c r="AG43" s="55"/>
      <c r="AH43" s="55"/>
      <c r="AI43" s="55"/>
      <c r="AN43" s="9"/>
      <c r="AO43" s="9"/>
      <c r="AP43" s="9"/>
      <c r="AQ43" s="9"/>
      <c r="AR43" s="9"/>
      <c r="AS43" s="9"/>
      <c r="AT43" s="9"/>
      <c r="AU43" s="9"/>
      <c r="AV43" s="9"/>
      <c r="AW43" s="9"/>
    </row>
    <row r="44" spans="1:49" x14ac:dyDescent="0.25">
      <c r="A44" s="143" t="s">
        <v>133</v>
      </c>
      <c r="B44" s="145" t="s">
        <v>89</v>
      </c>
      <c r="C44" s="145" t="s">
        <v>126</v>
      </c>
      <c r="D44" s="145" t="s">
        <v>49</v>
      </c>
      <c r="E44" s="145" t="s">
        <v>127</v>
      </c>
      <c r="F44" s="145" t="s">
        <v>133</v>
      </c>
      <c r="G44" s="145"/>
      <c r="H44" s="145" t="s">
        <v>129</v>
      </c>
      <c r="I44" s="145">
        <v>-571500</v>
      </c>
      <c r="J44" s="145"/>
      <c r="K44" s="145"/>
      <c r="L44" s="145"/>
      <c r="M44" s="145"/>
      <c r="N44" s="145"/>
      <c r="O44" s="153"/>
      <c r="P44" s="153"/>
      <c r="Q44" s="153"/>
      <c r="R44" s="153">
        <v>-571500</v>
      </c>
      <c r="S44" s="153"/>
      <c r="T44" s="153"/>
      <c r="U44" s="153"/>
      <c r="V44" s="153"/>
      <c r="W44" s="153"/>
      <c r="X44" s="153"/>
      <c r="Y44" s="153"/>
      <c r="Z44" s="103"/>
      <c r="AA44" s="103"/>
      <c r="AB44" s="103"/>
      <c r="AC44" s="103"/>
      <c r="AD44" s="103"/>
      <c r="AE44" s="103"/>
      <c r="AF44" s="55"/>
      <c r="AG44" s="55"/>
      <c r="AH44" s="55"/>
      <c r="AI44" s="55"/>
      <c r="AN44" s="9"/>
      <c r="AO44" s="9"/>
      <c r="AP44" s="9"/>
      <c r="AQ44" s="9"/>
      <c r="AR44" s="9"/>
      <c r="AS44" s="9"/>
      <c r="AT44" s="9"/>
      <c r="AU44" s="9"/>
      <c r="AV44" s="9"/>
      <c r="AW44" s="9"/>
    </row>
    <row r="45" spans="1:49" x14ac:dyDescent="0.25">
      <c r="A45" s="143" t="s">
        <v>133</v>
      </c>
      <c r="B45" s="145" t="s">
        <v>89</v>
      </c>
      <c r="C45" s="145" t="s">
        <v>204</v>
      </c>
      <c r="D45" s="145" t="s">
        <v>49</v>
      </c>
      <c r="E45" s="145" t="s">
        <v>169</v>
      </c>
      <c r="F45" s="145" t="s">
        <v>133</v>
      </c>
      <c r="G45" s="145"/>
      <c r="H45" s="145" t="s">
        <v>205</v>
      </c>
      <c r="I45" s="145">
        <v>-1212842</v>
      </c>
      <c r="J45" s="145"/>
      <c r="K45" s="145"/>
      <c r="L45" s="145"/>
      <c r="M45" s="145"/>
      <c r="N45" s="145"/>
      <c r="O45" s="153"/>
      <c r="P45" s="153"/>
      <c r="Q45" s="153"/>
      <c r="R45" s="153">
        <v>-1212842</v>
      </c>
      <c r="S45" s="153"/>
      <c r="T45" s="153"/>
      <c r="U45" s="153"/>
      <c r="V45" s="153"/>
      <c r="W45" s="153"/>
      <c r="X45" s="153"/>
      <c r="Y45" s="153"/>
      <c r="Z45" s="103"/>
      <c r="AA45" s="103"/>
      <c r="AB45" s="103"/>
      <c r="AC45" s="103"/>
      <c r="AD45" s="103"/>
      <c r="AE45" s="103"/>
      <c r="AF45" s="55"/>
      <c r="AG45" s="55"/>
      <c r="AH45" s="55"/>
      <c r="AI45" s="55"/>
      <c r="AN45" s="9"/>
      <c r="AO45" s="9"/>
      <c r="AP45" s="9"/>
      <c r="AQ45" s="9"/>
      <c r="AR45" s="9"/>
      <c r="AS45" s="9"/>
      <c r="AT45" s="9"/>
      <c r="AU45" s="9"/>
      <c r="AV45" s="9"/>
      <c r="AW45" s="9"/>
    </row>
    <row r="46" spans="1:49" x14ac:dyDescent="0.25">
      <c r="A46" s="154" t="s">
        <v>133</v>
      </c>
      <c r="B46" s="153" t="s">
        <v>89</v>
      </c>
      <c r="C46" s="153" t="s">
        <v>206</v>
      </c>
      <c r="D46" s="153" t="s">
        <v>49</v>
      </c>
      <c r="E46" s="153" t="s">
        <v>169</v>
      </c>
      <c r="F46" s="153" t="s">
        <v>133</v>
      </c>
      <c r="G46" s="153"/>
      <c r="H46" s="153" t="s">
        <v>207</v>
      </c>
      <c r="I46" s="153">
        <v>-560000</v>
      </c>
      <c r="J46" s="153"/>
      <c r="K46" s="153"/>
      <c r="L46" s="153"/>
      <c r="M46" s="153"/>
      <c r="N46" s="153"/>
      <c r="O46" s="153"/>
      <c r="P46" s="153"/>
      <c r="Q46" s="153"/>
      <c r="R46" s="153">
        <v>-560000</v>
      </c>
      <c r="S46" s="153"/>
      <c r="T46" s="153"/>
      <c r="U46" s="153"/>
      <c r="V46" s="153"/>
      <c r="W46" s="153"/>
      <c r="X46" s="153"/>
      <c r="Y46" s="153"/>
      <c r="Z46" s="103"/>
      <c r="AA46" s="103"/>
      <c r="AB46" s="103"/>
      <c r="AC46" s="103"/>
      <c r="AD46" s="103"/>
      <c r="AE46" s="103"/>
      <c r="AF46" s="55"/>
      <c r="AG46" s="55"/>
      <c r="AH46" s="55"/>
      <c r="AI46" s="55"/>
      <c r="AN46" s="9"/>
      <c r="AO46" s="9"/>
      <c r="AP46" s="9"/>
      <c r="AQ46" s="9"/>
      <c r="AR46" s="9"/>
      <c r="AS46" s="9"/>
      <c r="AT46" s="9"/>
      <c r="AU46" s="9"/>
      <c r="AV46" s="9"/>
      <c r="AW46" s="9"/>
    </row>
    <row r="47" spans="1:49" x14ac:dyDescent="0.25">
      <c r="A47" s="154" t="s">
        <v>133</v>
      </c>
      <c r="B47" s="153" t="s">
        <v>89</v>
      </c>
      <c r="C47" s="153" t="s">
        <v>266</v>
      </c>
      <c r="D47" s="153" t="s">
        <v>49</v>
      </c>
      <c r="E47" s="153" t="s">
        <v>169</v>
      </c>
      <c r="F47" s="153" t="s">
        <v>133</v>
      </c>
      <c r="G47" s="153"/>
      <c r="H47" s="153" t="s">
        <v>205</v>
      </c>
      <c r="I47" s="153">
        <v>-486888</v>
      </c>
      <c r="J47" s="153"/>
      <c r="K47" s="153"/>
      <c r="L47" s="153"/>
      <c r="M47" s="153"/>
      <c r="N47" s="153"/>
      <c r="O47" s="153"/>
      <c r="P47" s="153"/>
      <c r="Q47" s="153"/>
      <c r="R47" s="153">
        <v>-486888</v>
      </c>
      <c r="S47" s="153"/>
      <c r="T47" s="153"/>
      <c r="U47" s="153"/>
      <c r="V47" s="153"/>
      <c r="W47" s="153"/>
      <c r="X47" s="153"/>
      <c r="Y47" s="153"/>
      <c r="Z47" s="103"/>
      <c r="AA47" s="103"/>
      <c r="AB47" s="103"/>
      <c r="AC47" s="103"/>
      <c r="AD47" s="103"/>
      <c r="AE47" s="103"/>
      <c r="AF47" s="55"/>
      <c r="AG47" s="55"/>
      <c r="AH47" s="55"/>
      <c r="AI47" s="55"/>
      <c r="AN47" s="9"/>
      <c r="AO47" s="9"/>
      <c r="AP47" s="9"/>
      <c r="AQ47" s="9"/>
      <c r="AR47" s="9"/>
      <c r="AS47" s="9"/>
      <c r="AT47" s="9"/>
      <c r="AU47" s="9"/>
      <c r="AV47" s="9"/>
      <c r="AW47" s="9"/>
    </row>
    <row r="48" spans="1:49" x14ac:dyDescent="0.25">
      <c r="A48" s="154" t="s">
        <v>133</v>
      </c>
      <c r="B48" s="153" t="s">
        <v>171</v>
      </c>
      <c r="C48" s="153" t="s">
        <v>225</v>
      </c>
      <c r="D48" s="153" t="s">
        <v>49</v>
      </c>
      <c r="E48" s="153" t="s">
        <v>111</v>
      </c>
      <c r="F48" s="153" t="s">
        <v>133</v>
      </c>
      <c r="G48" s="153"/>
      <c r="H48" s="153" t="s">
        <v>224</v>
      </c>
      <c r="I48" s="153">
        <v>-776983</v>
      </c>
      <c r="J48" s="153"/>
      <c r="K48" s="153"/>
      <c r="L48" s="153"/>
      <c r="M48" s="153"/>
      <c r="N48" s="153"/>
      <c r="O48" s="153"/>
      <c r="P48" s="153"/>
      <c r="Q48" s="153"/>
      <c r="R48" s="153">
        <v>-776983</v>
      </c>
      <c r="S48" s="153"/>
      <c r="T48" s="153"/>
      <c r="U48" s="153"/>
      <c r="V48" s="153"/>
      <c r="W48" s="153"/>
      <c r="X48" s="153"/>
      <c r="Y48" s="153"/>
      <c r="Z48" s="103"/>
      <c r="AA48" s="103"/>
      <c r="AB48" s="103"/>
      <c r="AC48" s="103"/>
      <c r="AD48" s="103"/>
      <c r="AE48" s="103"/>
      <c r="AF48" s="55"/>
      <c r="AG48" s="55"/>
      <c r="AH48" s="55"/>
      <c r="AI48" s="55"/>
      <c r="AN48" s="9"/>
      <c r="AO48" s="9"/>
      <c r="AP48" s="9"/>
      <c r="AQ48" s="9"/>
      <c r="AR48" s="9"/>
      <c r="AS48" s="9"/>
      <c r="AT48" s="9"/>
      <c r="AU48" s="9"/>
      <c r="AV48" s="9"/>
      <c r="AW48" s="9"/>
    </row>
    <row r="49" spans="1:49" x14ac:dyDescent="0.25">
      <c r="A49" s="154" t="s">
        <v>217</v>
      </c>
      <c r="B49" s="153" t="s">
        <v>89</v>
      </c>
      <c r="C49" s="153" t="s">
        <v>203</v>
      </c>
      <c r="D49" s="153" t="s">
        <v>49</v>
      </c>
      <c r="E49" s="153" t="s">
        <v>166</v>
      </c>
      <c r="F49" s="153" t="s">
        <v>217</v>
      </c>
      <c r="G49" s="153"/>
      <c r="H49" s="153" t="s">
        <v>167</v>
      </c>
      <c r="I49" s="153">
        <v>-171124</v>
      </c>
      <c r="J49" s="153"/>
      <c r="K49" s="153"/>
      <c r="L49" s="153"/>
      <c r="M49" s="153"/>
      <c r="N49" s="153"/>
      <c r="O49" s="153"/>
      <c r="P49" s="153"/>
      <c r="Q49" s="153"/>
      <c r="R49" s="153"/>
      <c r="S49" s="153">
        <v>-171124</v>
      </c>
      <c r="T49" s="153"/>
      <c r="U49" s="153"/>
      <c r="V49" s="153"/>
      <c r="W49" s="153"/>
      <c r="X49" s="153"/>
      <c r="Y49" s="153"/>
      <c r="Z49" s="103"/>
      <c r="AA49" s="103"/>
      <c r="AB49" s="103"/>
      <c r="AC49" s="103"/>
      <c r="AD49" s="103"/>
      <c r="AE49" s="103"/>
      <c r="AF49" s="55"/>
      <c r="AG49" s="55"/>
      <c r="AH49" s="55"/>
      <c r="AI49" s="55"/>
      <c r="AN49" s="9"/>
      <c r="AO49" s="9"/>
      <c r="AP49" s="9"/>
      <c r="AQ49" s="9"/>
      <c r="AR49" s="9"/>
      <c r="AS49" s="9"/>
      <c r="AT49" s="9"/>
      <c r="AU49" s="9"/>
      <c r="AV49" s="9"/>
      <c r="AW49" s="9"/>
    </row>
    <row r="50" spans="1:49" x14ac:dyDescent="0.25">
      <c r="A50" s="154"/>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03"/>
      <c r="AA50" s="103"/>
      <c r="AB50" s="103"/>
      <c r="AC50" s="103"/>
      <c r="AD50" s="103"/>
      <c r="AE50" s="103"/>
      <c r="AF50" s="55"/>
      <c r="AG50" s="55"/>
      <c r="AH50" s="55"/>
      <c r="AI50" s="55"/>
      <c r="AN50" s="9"/>
      <c r="AO50" s="9"/>
      <c r="AP50" s="9"/>
      <c r="AQ50" s="9"/>
      <c r="AR50" s="9"/>
      <c r="AS50" s="9"/>
      <c r="AT50" s="9"/>
      <c r="AU50" s="9"/>
      <c r="AV50" s="9"/>
      <c r="AW50" s="9"/>
    </row>
    <row r="51" spans="1:49" ht="15.75" x14ac:dyDescent="0.25">
      <c r="A51" s="261" t="s">
        <v>84</v>
      </c>
      <c r="B51" s="261"/>
      <c r="C51" s="261"/>
      <c r="D51" s="261"/>
      <c r="E51" s="261"/>
      <c r="F51" s="261"/>
      <c r="G51" s="261"/>
      <c r="AP51" s="55"/>
      <c r="AQ51" s="55"/>
      <c r="AR51" s="55"/>
      <c r="AS51" s="55"/>
    </row>
    <row r="53" spans="1:49" s="109" customFormat="1" x14ac:dyDescent="0.25">
      <c r="A53" s="108" t="s">
        <v>46</v>
      </c>
      <c r="B53" s="108" t="s">
        <v>47</v>
      </c>
      <c r="C53" s="108" t="s">
        <v>13</v>
      </c>
      <c r="D53" s="108" t="s">
        <v>92</v>
      </c>
      <c r="E53" s="108" t="s">
        <v>93</v>
      </c>
      <c r="F53" s="108" t="s">
        <v>48</v>
      </c>
      <c r="G53" s="108" t="s">
        <v>94</v>
      </c>
      <c r="H53" s="108" t="s">
        <v>95</v>
      </c>
      <c r="I53" s="108" t="s">
        <v>10</v>
      </c>
      <c r="J53" s="108" t="s">
        <v>43</v>
      </c>
      <c r="K53" s="108" t="s">
        <v>244</v>
      </c>
      <c r="L53" s="108" t="s">
        <v>255</v>
      </c>
      <c r="M53" s="108" t="s">
        <v>4</v>
      </c>
      <c r="N53" s="108" t="s">
        <v>245</v>
      </c>
      <c r="O53" s="32" t="s">
        <v>5</v>
      </c>
      <c r="P53" s="32" t="s">
        <v>218</v>
      </c>
      <c r="Q53" s="32" t="s">
        <v>219</v>
      </c>
      <c r="R53" s="32" t="s">
        <v>246</v>
      </c>
      <c r="S53" s="32" t="s">
        <v>247</v>
      </c>
      <c r="T53" s="32" t="s">
        <v>485</v>
      </c>
      <c r="U53" s="32" t="s">
        <v>220</v>
      </c>
      <c r="V53" s="32" t="s">
        <v>221</v>
      </c>
      <c r="W53" s="32" t="s">
        <v>248</v>
      </c>
      <c r="X53" s="191" t="s">
        <v>233</v>
      </c>
      <c r="Y53" s="32"/>
      <c r="Z53" s="108"/>
      <c r="AA53" s="108"/>
      <c r="AB53" s="108"/>
      <c r="AC53" s="108"/>
      <c r="AD53" s="26"/>
      <c r="AE53" s="26"/>
      <c r="AF53" s="26"/>
      <c r="AG53" s="26"/>
      <c r="AH53" s="26"/>
      <c r="AI53" s="26"/>
      <c r="AJ53" s="26"/>
      <c r="AK53" s="26"/>
    </row>
    <row r="54" spans="1:49" s="104" customFormat="1" ht="13.5" x14ac:dyDescent="0.25">
      <c r="A54" s="103" t="s">
        <v>103</v>
      </c>
      <c r="B54" s="103" t="s">
        <v>102</v>
      </c>
      <c r="C54" s="103" t="s">
        <v>104</v>
      </c>
      <c r="D54" s="103" t="s">
        <v>101</v>
      </c>
      <c r="E54" s="103" t="s">
        <v>49</v>
      </c>
      <c r="F54" s="103" t="s">
        <v>105</v>
      </c>
      <c r="G54" s="103"/>
      <c r="H54" s="103" t="s">
        <v>106</v>
      </c>
      <c r="I54" s="103">
        <v>451757.81</v>
      </c>
      <c r="J54" s="103"/>
      <c r="K54" s="103"/>
      <c r="L54" s="103"/>
      <c r="M54" s="103"/>
      <c r="N54" s="103"/>
      <c r="O54" s="103">
        <v>451757.81</v>
      </c>
      <c r="P54" s="103"/>
      <c r="Q54" s="103"/>
      <c r="R54" s="103"/>
      <c r="S54" s="103"/>
      <c r="T54" s="103"/>
      <c r="U54" s="103"/>
      <c r="V54" s="103"/>
      <c r="W54" s="103"/>
      <c r="X54" s="189"/>
      <c r="Y54" s="103"/>
      <c r="Z54" s="103"/>
      <c r="AA54" s="103"/>
      <c r="AB54" s="103"/>
      <c r="AC54" s="103"/>
      <c r="AD54" s="107"/>
      <c r="AE54" s="107"/>
      <c r="AF54" s="107"/>
      <c r="AG54" s="107"/>
      <c r="AH54" s="107"/>
      <c r="AI54" s="107"/>
      <c r="AJ54" s="107"/>
      <c r="AK54" s="107"/>
    </row>
    <row r="55" spans="1:49" s="104" customFormat="1" ht="13.5" x14ac:dyDescent="0.25">
      <c r="A55" s="103" t="s">
        <v>103</v>
      </c>
      <c r="B55" s="103" t="s">
        <v>102</v>
      </c>
      <c r="C55" s="103" t="s">
        <v>107</v>
      </c>
      <c r="D55" s="103" t="s">
        <v>49</v>
      </c>
      <c r="E55" s="103" t="s">
        <v>108</v>
      </c>
      <c r="F55" s="103"/>
      <c r="G55" s="103"/>
      <c r="H55" s="103" t="s">
        <v>109</v>
      </c>
      <c r="I55" s="103">
        <v>969391</v>
      </c>
      <c r="J55" s="103"/>
      <c r="K55" s="103"/>
      <c r="L55" s="103"/>
      <c r="M55" s="103"/>
      <c r="N55" s="103"/>
      <c r="O55" s="103"/>
      <c r="P55" s="103"/>
      <c r="Q55" s="103"/>
      <c r="R55" s="103"/>
      <c r="S55" s="103">
        <v>969391</v>
      </c>
      <c r="T55" s="103"/>
      <c r="U55" s="103"/>
      <c r="V55" s="103"/>
      <c r="W55" s="103"/>
      <c r="X55" s="189"/>
      <c r="Y55" s="103"/>
      <c r="Z55" s="103"/>
      <c r="AA55" s="103"/>
      <c r="AB55" s="103"/>
      <c r="AC55" s="103"/>
      <c r="AD55" s="107"/>
      <c r="AE55" s="107"/>
      <c r="AF55" s="107"/>
      <c r="AG55" s="107"/>
      <c r="AH55" s="107"/>
      <c r="AI55" s="107"/>
      <c r="AJ55" s="107"/>
      <c r="AK55" s="107"/>
    </row>
    <row r="56" spans="1:49" s="104" customFormat="1" ht="13.5" x14ac:dyDescent="0.25">
      <c r="A56" s="103" t="s">
        <v>103</v>
      </c>
      <c r="B56" s="103" t="s">
        <v>90</v>
      </c>
      <c r="C56" s="103" t="s">
        <v>110</v>
      </c>
      <c r="D56" s="103" t="s">
        <v>111</v>
      </c>
      <c r="E56" s="103" t="s">
        <v>49</v>
      </c>
      <c r="F56" s="103" t="s">
        <v>112</v>
      </c>
      <c r="G56" s="103"/>
      <c r="H56" s="103" t="s">
        <v>113</v>
      </c>
      <c r="I56" s="103">
        <v>540000</v>
      </c>
      <c r="J56" s="103"/>
      <c r="K56" s="103"/>
      <c r="L56" s="103"/>
      <c r="M56" s="103"/>
      <c r="N56" s="103"/>
      <c r="O56" s="103"/>
      <c r="P56" s="103"/>
      <c r="Q56" s="103"/>
      <c r="R56" s="103"/>
      <c r="S56" s="103">
        <v>540000</v>
      </c>
      <c r="T56" s="103"/>
      <c r="U56" s="103"/>
      <c r="V56" s="103"/>
      <c r="W56" s="103"/>
      <c r="X56" s="189"/>
      <c r="Y56" s="103"/>
      <c r="Z56" s="103"/>
      <c r="AA56" s="103"/>
      <c r="AB56" s="103"/>
      <c r="AC56" s="103"/>
      <c r="AD56" s="107"/>
      <c r="AE56" s="107"/>
      <c r="AF56" s="107"/>
      <c r="AG56" s="107"/>
      <c r="AH56" s="107"/>
      <c r="AI56" s="107"/>
      <c r="AJ56" s="107"/>
      <c r="AK56" s="107"/>
    </row>
    <row r="57" spans="1:49" s="104" customFormat="1" ht="13.5" x14ac:dyDescent="0.25">
      <c r="A57" s="103" t="s">
        <v>103</v>
      </c>
      <c r="B57" s="103" t="s">
        <v>90</v>
      </c>
      <c r="C57" s="103" t="s">
        <v>114</v>
      </c>
      <c r="D57" s="103" t="s">
        <v>101</v>
      </c>
      <c r="E57" s="103" t="s">
        <v>49</v>
      </c>
      <c r="F57" s="103" t="s">
        <v>103</v>
      </c>
      <c r="G57" s="103" t="s">
        <v>115</v>
      </c>
      <c r="H57" s="103" t="s">
        <v>116</v>
      </c>
      <c r="I57" s="103">
        <v>1722861</v>
      </c>
      <c r="J57" s="103"/>
      <c r="K57" s="103"/>
      <c r="L57" s="103"/>
      <c r="M57" s="103">
        <v>1722861</v>
      </c>
      <c r="N57" s="103"/>
      <c r="O57" s="103"/>
      <c r="P57" s="103"/>
      <c r="Q57" s="103"/>
      <c r="R57" s="103"/>
      <c r="S57" s="103"/>
      <c r="T57" s="103"/>
      <c r="U57" s="103"/>
      <c r="V57" s="103"/>
      <c r="W57" s="103"/>
      <c r="X57" s="189"/>
      <c r="Y57" s="103"/>
      <c r="Z57" s="103"/>
      <c r="AA57" s="103"/>
      <c r="AB57" s="103"/>
      <c r="AC57" s="103"/>
    </row>
    <row r="58" spans="1:49" s="104" customFormat="1" ht="13.5" x14ac:dyDescent="0.25">
      <c r="A58" s="103" t="s">
        <v>103</v>
      </c>
      <c r="B58" s="103" t="s">
        <v>90</v>
      </c>
      <c r="C58" s="103" t="s">
        <v>117</v>
      </c>
      <c r="D58" s="103" t="s">
        <v>101</v>
      </c>
      <c r="E58" s="103" t="s">
        <v>49</v>
      </c>
      <c r="F58" s="103" t="s">
        <v>103</v>
      </c>
      <c r="G58" s="103" t="s">
        <v>118</v>
      </c>
      <c r="H58" s="103" t="s">
        <v>116</v>
      </c>
      <c r="I58" s="103">
        <v>647765</v>
      </c>
      <c r="J58" s="103"/>
      <c r="K58" s="103"/>
      <c r="L58" s="103"/>
      <c r="M58" s="103">
        <v>647765</v>
      </c>
      <c r="N58" s="103"/>
      <c r="O58" s="103"/>
      <c r="P58" s="103"/>
      <c r="Q58" s="103"/>
      <c r="R58" s="103"/>
      <c r="S58" s="103"/>
      <c r="T58" s="103"/>
      <c r="U58" s="103"/>
      <c r="V58" s="103"/>
      <c r="W58" s="103"/>
      <c r="X58" s="189"/>
      <c r="Y58" s="103"/>
      <c r="Z58" s="103"/>
      <c r="AA58" s="103"/>
      <c r="AB58" s="103"/>
      <c r="AC58" s="103"/>
    </row>
    <row r="59" spans="1:49" s="104" customFormat="1" ht="13.5" x14ac:dyDescent="0.25">
      <c r="A59" s="103" t="s">
        <v>103</v>
      </c>
      <c r="B59" s="103" t="s">
        <v>90</v>
      </c>
      <c r="C59" s="103" t="s">
        <v>119</v>
      </c>
      <c r="D59" s="103" t="s">
        <v>101</v>
      </c>
      <c r="E59" s="103" t="s">
        <v>49</v>
      </c>
      <c r="F59" s="103" t="s">
        <v>103</v>
      </c>
      <c r="G59" s="103" t="s">
        <v>120</v>
      </c>
      <c r="H59" s="103" t="s">
        <v>116</v>
      </c>
      <c r="I59" s="103">
        <v>775618</v>
      </c>
      <c r="J59" s="103"/>
      <c r="K59" s="103"/>
      <c r="L59" s="103"/>
      <c r="M59" s="103">
        <v>775618</v>
      </c>
      <c r="N59" s="103"/>
      <c r="O59" s="103"/>
      <c r="P59" s="103"/>
      <c r="Q59" s="103"/>
      <c r="R59" s="103"/>
      <c r="S59" s="103"/>
      <c r="T59" s="103"/>
      <c r="U59" s="103"/>
      <c r="V59" s="103"/>
      <c r="W59" s="103"/>
      <c r="X59" s="189"/>
      <c r="Y59" s="103"/>
      <c r="Z59" s="103"/>
      <c r="AA59" s="103"/>
      <c r="AB59" s="103"/>
      <c r="AC59" s="103"/>
    </row>
    <row r="60" spans="1:49" s="104" customFormat="1" ht="13.5" x14ac:dyDescent="0.25">
      <c r="A60" s="107" t="s">
        <v>103</v>
      </c>
      <c r="B60" s="107" t="s">
        <v>90</v>
      </c>
      <c r="C60" s="107" t="s">
        <v>121</v>
      </c>
      <c r="D60" s="107" t="s">
        <v>101</v>
      </c>
      <c r="E60" s="107" t="s">
        <v>49</v>
      </c>
      <c r="F60" s="107" t="s">
        <v>103</v>
      </c>
      <c r="G60" s="107" t="s">
        <v>122</v>
      </c>
      <c r="H60" s="107" t="s">
        <v>116</v>
      </c>
      <c r="I60" s="107">
        <v>203637</v>
      </c>
      <c r="J60" s="107"/>
      <c r="K60" s="107"/>
      <c r="L60" s="107"/>
      <c r="M60" s="107">
        <v>203637</v>
      </c>
      <c r="N60" s="107"/>
      <c r="O60" s="107"/>
      <c r="P60" s="107"/>
      <c r="Q60" s="107"/>
      <c r="R60" s="107"/>
      <c r="S60" s="107"/>
      <c r="T60" s="107"/>
      <c r="U60" s="107"/>
      <c r="V60" s="107"/>
      <c r="W60" s="107"/>
      <c r="X60" s="190"/>
      <c r="Y60" s="107"/>
      <c r="Z60" s="107"/>
      <c r="AA60" s="107"/>
      <c r="AB60" s="107"/>
      <c r="AC60" s="107"/>
    </row>
    <row r="61" spans="1:49" s="104" customFormat="1" ht="13.5" x14ac:dyDescent="0.25">
      <c r="A61" s="107" t="s">
        <v>105</v>
      </c>
      <c r="B61" s="107" t="s">
        <v>102</v>
      </c>
      <c r="C61" s="107" t="s">
        <v>126</v>
      </c>
      <c r="D61" s="107" t="s">
        <v>127</v>
      </c>
      <c r="E61" s="107" t="s">
        <v>49</v>
      </c>
      <c r="F61" s="107" t="s">
        <v>128</v>
      </c>
      <c r="G61" s="107"/>
      <c r="H61" s="107" t="s">
        <v>129</v>
      </c>
      <c r="I61" s="107">
        <v>4252198</v>
      </c>
      <c r="J61" s="107"/>
      <c r="K61" s="107"/>
      <c r="L61" s="107"/>
      <c r="M61" s="107"/>
      <c r="N61" s="107"/>
      <c r="O61" s="107"/>
      <c r="P61" s="107"/>
      <c r="Q61" s="107"/>
      <c r="R61" s="107"/>
      <c r="S61" s="107">
        <v>4252198</v>
      </c>
      <c r="T61" s="107"/>
      <c r="U61" s="107"/>
      <c r="V61" s="107"/>
      <c r="W61" s="107"/>
      <c r="X61" s="190"/>
      <c r="Y61" s="107"/>
      <c r="Z61" s="107"/>
      <c r="AA61" s="107"/>
      <c r="AB61" s="107"/>
      <c r="AC61" s="107"/>
    </row>
    <row r="62" spans="1:49" s="104" customFormat="1" ht="13.5" x14ac:dyDescent="0.25">
      <c r="A62" s="107" t="s">
        <v>105</v>
      </c>
      <c r="B62" s="107" t="s">
        <v>152</v>
      </c>
      <c r="C62" s="107" t="s">
        <v>153</v>
      </c>
      <c r="D62" s="107" t="s">
        <v>49</v>
      </c>
      <c r="E62" s="107" t="s">
        <v>101</v>
      </c>
      <c r="F62" s="107" t="s">
        <v>124</v>
      </c>
      <c r="G62" s="107"/>
      <c r="H62" s="107" t="s">
        <v>154</v>
      </c>
      <c r="I62" s="107">
        <v>-713568.9</v>
      </c>
      <c r="J62" s="107"/>
      <c r="K62" s="107"/>
      <c r="L62" s="107"/>
      <c r="M62" s="107"/>
      <c r="N62" s="107"/>
      <c r="O62" s="107"/>
      <c r="P62" s="107"/>
      <c r="Q62" s="107"/>
      <c r="R62" s="107"/>
      <c r="S62" s="107"/>
      <c r="T62" s="107"/>
      <c r="U62" s="107"/>
      <c r="V62" s="107"/>
      <c r="W62" s="107"/>
      <c r="X62" s="190"/>
      <c r="Y62" s="107"/>
      <c r="Z62" s="107"/>
      <c r="AA62" s="107"/>
      <c r="AB62" s="107"/>
      <c r="AC62" s="107"/>
    </row>
    <row r="63" spans="1:49" s="104" customFormat="1" ht="13.5" x14ac:dyDescent="0.25">
      <c r="A63" s="107" t="s">
        <v>105</v>
      </c>
      <c r="B63" s="107" t="s">
        <v>89</v>
      </c>
      <c r="C63" s="107" t="s">
        <v>104</v>
      </c>
      <c r="D63" s="107" t="s">
        <v>49</v>
      </c>
      <c r="E63" s="107" t="s">
        <v>101</v>
      </c>
      <c r="F63" s="107" t="s">
        <v>105</v>
      </c>
      <c r="G63" s="107"/>
      <c r="H63" s="107" t="s">
        <v>123</v>
      </c>
      <c r="I63" s="107">
        <v>-451757.81</v>
      </c>
      <c r="J63" s="107"/>
      <c r="K63" s="107"/>
      <c r="L63" s="107"/>
      <c r="M63" s="107"/>
      <c r="N63" s="107"/>
      <c r="O63" s="107">
        <v>-451757.81</v>
      </c>
      <c r="P63" s="107"/>
      <c r="Q63" s="107"/>
      <c r="R63" s="107"/>
      <c r="S63" s="107"/>
      <c r="T63" s="107"/>
      <c r="U63" s="107"/>
      <c r="V63" s="107"/>
      <c r="W63" s="107"/>
      <c r="X63" s="190"/>
      <c r="Y63" s="107"/>
      <c r="Z63" s="107"/>
      <c r="AA63" s="107"/>
      <c r="AB63" s="107"/>
      <c r="AC63" s="107"/>
    </row>
    <row r="64" spans="1:49" s="104" customFormat="1" ht="13.5" x14ac:dyDescent="0.25">
      <c r="A64" s="107" t="s">
        <v>124</v>
      </c>
      <c r="B64" s="107" t="s">
        <v>155</v>
      </c>
      <c r="C64" s="107" t="s">
        <v>153</v>
      </c>
      <c r="D64" s="107" t="s">
        <v>101</v>
      </c>
      <c r="E64" s="107" t="s">
        <v>49</v>
      </c>
      <c r="F64" s="107"/>
      <c r="G64" s="107"/>
      <c r="H64" s="107" t="s">
        <v>154</v>
      </c>
      <c r="I64" s="107">
        <v>713568.9</v>
      </c>
      <c r="J64" s="107"/>
      <c r="K64" s="107"/>
      <c r="L64" s="107"/>
      <c r="M64" s="107"/>
      <c r="N64" s="107"/>
      <c r="O64" s="107"/>
      <c r="P64" s="107"/>
      <c r="Q64" s="107"/>
      <c r="R64" s="107"/>
      <c r="S64" s="107"/>
      <c r="T64" s="107"/>
      <c r="U64" s="107"/>
      <c r="V64" s="107"/>
      <c r="W64" s="107"/>
      <c r="X64" s="190"/>
      <c r="Y64" s="107"/>
      <c r="Z64" s="107"/>
      <c r="AA64" s="107"/>
      <c r="AB64" s="107"/>
      <c r="AC64" s="107"/>
    </row>
    <row r="65" spans="1:49" s="104" customFormat="1" ht="13.5" x14ac:dyDescent="0.25">
      <c r="A65" s="107" t="s">
        <v>124</v>
      </c>
      <c r="B65" s="107" t="s">
        <v>89</v>
      </c>
      <c r="C65" s="107" t="s">
        <v>107</v>
      </c>
      <c r="D65" s="107" t="s">
        <v>108</v>
      </c>
      <c r="E65" s="107" t="s">
        <v>49</v>
      </c>
      <c r="F65" s="107" t="s">
        <v>124</v>
      </c>
      <c r="G65" s="107"/>
      <c r="H65" s="107" t="s">
        <v>125</v>
      </c>
      <c r="I65" s="107">
        <v>-969391</v>
      </c>
      <c r="J65" s="107"/>
      <c r="K65" s="107"/>
      <c r="L65" s="107"/>
      <c r="M65" s="107"/>
      <c r="N65" s="107"/>
      <c r="O65" s="107"/>
      <c r="P65" s="107"/>
      <c r="Q65" s="107"/>
      <c r="R65" s="107"/>
      <c r="S65" s="107">
        <v>-969391</v>
      </c>
      <c r="T65" s="107"/>
      <c r="U65" s="107"/>
      <c r="V65" s="107"/>
      <c r="W65" s="107"/>
      <c r="X65" s="190"/>
      <c r="Y65" s="107"/>
      <c r="Z65" s="107"/>
      <c r="AA65" s="107"/>
      <c r="AB65" s="107"/>
      <c r="AC65" s="107"/>
      <c r="AD65" s="107"/>
      <c r="AE65" s="107"/>
      <c r="AF65" s="107"/>
      <c r="AG65" s="107"/>
    </row>
    <row r="66" spans="1:49" s="104" customFormat="1" ht="13.5" x14ac:dyDescent="0.25">
      <c r="A66" s="107" t="s">
        <v>130</v>
      </c>
      <c r="B66" s="107" t="s">
        <v>102</v>
      </c>
      <c r="C66" s="107" t="s">
        <v>165</v>
      </c>
      <c r="D66" s="107" t="s">
        <v>166</v>
      </c>
      <c r="E66" s="107" t="s">
        <v>49</v>
      </c>
      <c r="F66" s="107" t="s">
        <v>131</v>
      </c>
      <c r="G66" s="107"/>
      <c r="H66" s="107" t="s">
        <v>167</v>
      </c>
      <c r="I66" s="107">
        <v>633480</v>
      </c>
      <c r="J66" s="107"/>
      <c r="K66" s="107"/>
      <c r="L66" s="107"/>
      <c r="M66" s="107"/>
      <c r="N66" s="107"/>
      <c r="O66" s="107"/>
      <c r="P66" s="107"/>
      <c r="Q66" s="107"/>
      <c r="R66" s="107"/>
      <c r="S66" s="107">
        <v>633480</v>
      </c>
      <c r="T66" s="107"/>
      <c r="U66" s="107"/>
      <c r="V66" s="107"/>
      <c r="W66" s="107"/>
      <c r="X66" s="190"/>
      <c r="Y66" s="107"/>
      <c r="Z66" s="107"/>
      <c r="AA66" s="107"/>
      <c r="AB66" s="107"/>
      <c r="AC66" s="107"/>
      <c r="AD66" s="107"/>
      <c r="AE66" s="107"/>
      <c r="AF66" s="107"/>
      <c r="AG66" s="107"/>
    </row>
    <row r="67" spans="1:49" s="104" customFormat="1" ht="13.5" x14ac:dyDescent="0.25">
      <c r="A67" s="107" t="s">
        <v>130</v>
      </c>
      <c r="B67" s="107" t="s">
        <v>102</v>
      </c>
      <c r="C67" s="107" t="s">
        <v>168</v>
      </c>
      <c r="D67" s="107" t="s">
        <v>169</v>
      </c>
      <c r="E67" s="107" t="s">
        <v>49</v>
      </c>
      <c r="F67" s="107" t="s">
        <v>132</v>
      </c>
      <c r="G67" s="107"/>
      <c r="H67" s="107" t="s">
        <v>170</v>
      </c>
      <c r="I67" s="107">
        <v>473063</v>
      </c>
      <c r="J67" s="107"/>
      <c r="K67" s="107"/>
      <c r="L67" s="107"/>
      <c r="M67" s="107">
        <v>473063</v>
      </c>
      <c r="N67" s="107"/>
      <c r="O67" s="107"/>
      <c r="P67" s="107"/>
      <c r="Q67" s="107"/>
      <c r="R67" s="107"/>
      <c r="S67" s="107"/>
      <c r="T67" s="107"/>
      <c r="U67" s="107"/>
      <c r="V67" s="107"/>
      <c r="W67" s="107"/>
      <c r="X67" s="190"/>
      <c r="Y67" s="107"/>
      <c r="Z67" s="107"/>
      <c r="AA67" s="107"/>
      <c r="AB67" s="107"/>
      <c r="AC67" s="107"/>
      <c r="AD67" s="107"/>
      <c r="AE67" s="107"/>
      <c r="AF67" s="107"/>
      <c r="AG67" s="107"/>
    </row>
    <row r="68" spans="1:49" x14ac:dyDescent="0.25">
      <c r="A68" s="110" t="s">
        <v>130</v>
      </c>
      <c r="B68" s="110" t="s">
        <v>89</v>
      </c>
      <c r="C68" s="110" t="s">
        <v>126</v>
      </c>
      <c r="D68" s="110" t="s">
        <v>49</v>
      </c>
      <c r="E68" s="110" t="s">
        <v>127</v>
      </c>
      <c r="F68" s="110" t="s">
        <v>130</v>
      </c>
      <c r="G68" s="110"/>
      <c r="H68" s="110" t="s">
        <v>129</v>
      </c>
      <c r="I68" s="110">
        <v>-1200000</v>
      </c>
      <c r="J68" s="110"/>
      <c r="K68" s="110"/>
      <c r="L68" s="110"/>
      <c r="M68" s="110"/>
      <c r="N68" s="110"/>
      <c r="O68" s="107"/>
      <c r="P68" s="107"/>
      <c r="Q68" s="107"/>
      <c r="R68" s="107"/>
      <c r="S68" s="107">
        <v>-1200000</v>
      </c>
      <c r="T68" s="107"/>
      <c r="U68" s="107"/>
      <c r="V68" s="107"/>
      <c r="W68" s="107"/>
      <c r="X68" s="190"/>
      <c r="Y68" s="107"/>
      <c r="Z68" s="110"/>
      <c r="AA68" s="110"/>
      <c r="AB68" s="110"/>
      <c r="AC68" s="110"/>
      <c r="AD68" s="25"/>
      <c r="AE68" s="25"/>
      <c r="AH68" s="9"/>
      <c r="AI68" s="9"/>
      <c r="AJ68" s="9"/>
      <c r="AK68" s="9"/>
      <c r="AL68" s="9"/>
      <c r="AM68" s="9"/>
      <c r="AN68" s="9"/>
      <c r="AO68" s="9"/>
      <c r="AP68" s="9"/>
      <c r="AQ68" s="9"/>
      <c r="AR68" s="9"/>
      <c r="AS68" s="9"/>
      <c r="AT68" s="9"/>
      <c r="AU68" s="9"/>
      <c r="AV68" s="9"/>
      <c r="AW68" s="9"/>
    </row>
    <row r="69" spans="1:49" x14ac:dyDescent="0.25">
      <c r="A69" s="110" t="s">
        <v>131</v>
      </c>
      <c r="B69" s="110" t="s">
        <v>102</v>
      </c>
      <c r="C69" s="110" t="s">
        <v>203</v>
      </c>
      <c r="D69" s="110" t="s">
        <v>166</v>
      </c>
      <c r="E69" s="110" t="s">
        <v>49</v>
      </c>
      <c r="F69" s="110" t="s">
        <v>216</v>
      </c>
      <c r="G69" s="110"/>
      <c r="H69" s="110" t="s">
        <v>167</v>
      </c>
      <c r="I69" s="110">
        <v>196124</v>
      </c>
      <c r="J69" s="110"/>
      <c r="K69" s="110"/>
      <c r="L69" s="110"/>
      <c r="M69" s="110"/>
      <c r="N69" s="110"/>
      <c r="O69" s="107"/>
      <c r="P69" s="107"/>
      <c r="Q69" s="107"/>
      <c r="R69" s="107"/>
      <c r="S69" s="107">
        <v>196124</v>
      </c>
      <c r="T69" s="107"/>
      <c r="U69" s="107"/>
      <c r="V69" s="107"/>
      <c r="W69" s="107"/>
      <c r="X69" s="190"/>
      <c r="Y69" s="107"/>
      <c r="Z69" s="110"/>
      <c r="AA69" s="110"/>
      <c r="AB69" s="110"/>
      <c r="AC69" s="110"/>
      <c r="AD69" s="25"/>
      <c r="AE69" s="25"/>
      <c r="AH69" s="9"/>
      <c r="AI69" s="9"/>
      <c r="AJ69" s="9"/>
      <c r="AK69" s="9"/>
      <c r="AL69" s="9"/>
      <c r="AM69" s="9"/>
      <c r="AN69" s="9"/>
      <c r="AO69" s="9"/>
      <c r="AP69" s="9"/>
      <c r="AQ69" s="9"/>
      <c r="AR69" s="9"/>
      <c r="AS69" s="9"/>
      <c r="AT69" s="9"/>
      <c r="AU69" s="9"/>
      <c r="AV69" s="9"/>
      <c r="AW69" s="9"/>
    </row>
    <row r="70" spans="1:49" x14ac:dyDescent="0.25">
      <c r="A70" s="124" t="s">
        <v>131</v>
      </c>
      <c r="B70" s="124" t="s">
        <v>102</v>
      </c>
      <c r="C70" s="124" t="s">
        <v>204</v>
      </c>
      <c r="D70" s="124" t="s">
        <v>169</v>
      </c>
      <c r="E70" s="124" t="s">
        <v>49</v>
      </c>
      <c r="F70" s="124" t="s">
        <v>133</v>
      </c>
      <c r="G70" s="124"/>
      <c r="H70" s="124" t="s">
        <v>205</v>
      </c>
      <c r="I70" s="124">
        <v>1212842</v>
      </c>
      <c r="J70" s="124"/>
      <c r="K70" s="124"/>
      <c r="L70" s="124"/>
      <c r="M70" s="124"/>
      <c r="N70" s="124"/>
      <c r="O70" s="107"/>
      <c r="P70" s="107"/>
      <c r="Q70" s="107"/>
      <c r="R70" s="107"/>
      <c r="S70" s="107">
        <v>1212842</v>
      </c>
      <c r="T70" s="107"/>
      <c r="U70" s="107"/>
      <c r="V70" s="107"/>
      <c r="W70" s="107"/>
      <c r="X70" s="190"/>
      <c r="Y70" s="107"/>
      <c r="Z70" s="124"/>
      <c r="AA70" s="124"/>
      <c r="AB70" s="124"/>
      <c r="AC70" s="124"/>
      <c r="AD70" s="25"/>
      <c r="AE70" s="25"/>
      <c r="AH70" s="9"/>
      <c r="AI70" s="9"/>
      <c r="AJ70" s="9"/>
      <c r="AK70" s="9"/>
      <c r="AL70" s="9"/>
      <c r="AM70" s="9"/>
      <c r="AN70" s="9"/>
      <c r="AO70" s="9"/>
      <c r="AP70" s="9"/>
      <c r="AQ70" s="9"/>
      <c r="AR70" s="9"/>
      <c r="AS70" s="9"/>
      <c r="AT70" s="9"/>
      <c r="AU70" s="9"/>
      <c r="AV70" s="9"/>
      <c r="AW70" s="9"/>
    </row>
    <row r="71" spans="1:49" x14ac:dyDescent="0.25">
      <c r="A71" s="124" t="s">
        <v>131</v>
      </c>
      <c r="B71" s="124" t="s">
        <v>102</v>
      </c>
      <c r="C71" s="124" t="s">
        <v>206</v>
      </c>
      <c r="D71" s="124" t="s">
        <v>169</v>
      </c>
      <c r="E71" s="124" t="s">
        <v>49</v>
      </c>
      <c r="F71" s="124" t="s">
        <v>133</v>
      </c>
      <c r="G71" s="124"/>
      <c r="H71" s="124" t="s">
        <v>207</v>
      </c>
      <c r="I71" s="124">
        <v>560000</v>
      </c>
      <c r="J71" s="124"/>
      <c r="K71" s="124"/>
      <c r="L71" s="124"/>
      <c r="M71" s="124">
        <v>560000</v>
      </c>
      <c r="N71" s="124"/>
      <c r="O71" s="107"/>
      <c r="P71" s="107"/>
      <c r="Q71" s="107"/>
      <c r="R71" s="107"/>
      <c r="S71" s="107"/>
      <c r="T71" s="107"/>
      <c r="U71" s="107"/>
      <c r="V71" s="107"/>
      <c r="W71" s="107"/>
      <c r="X71" s="190"/>
      <c r="Y71" s="107"/>
      <c r="Z71" s="124"/>
      <c r="AA71" s="124"/>
      <c r="AB71" s="124"/>
      <c r="AC71" s="124"/>
      <c r="AD71" s="25"/>
      <c r="AE71" s="25"/>
      <c r="AH71" s="9"/>
      <c r="AI71" s="9"/>
      <c r="AJ71" s="9"/>
      <c r="AK71" s="9"/>
      <c r="AL71" s="9"/>
      <c r="AM71" s="9"/>
      <c r="AN71" s="9"/>
      <c r="AO71" s="9"/>
      <c r="AP71" s="9"/>
      <c r="AQ71" s="9"/>
      <c r="AR71" s="9"/>
      <c r="AS71" s="9"/>
      <c r="AT71" s="9"/>
      <c r="AU71" s="9"/>
      <c r="AV71" s="9"/>
      <c r="AW71" s="9"/>
    </row>
    <row r="72" spans="1:49" x14ac:dyDescent="0.25">
      <c r="A72" s="131" t="s">
        <v>131</v>
      </c>
      <c r="B72" s="131" t="s">
        <v>89</v>
      </c>
      <c r="C72" s="131" t="s">
        <v>126</v>
      </c>
      <c r="D72" s="131" t="s">
        <v>49</v>
      </c>
      <c r="E72" s="131" t="s">
        <v>127</v>
      </c>
      <c r="F72" s="131" t="s">
        <v>131</v>
      </c>
      <c r="G72" s="131"/>
      <c r="H72" s="131" t="s">
        <v>129</v>
      </c>
      <c r="I72" s="131">
        <v>-2000000</v>
      </c>
      <c r="J72" s="131"/>
      <c r="K72" s="131"/>
      <c r="L72" s="131"/>
      <c r="M72" s="131"/>
      <c r="N72" s="131"/>
      <c r="O72" s="107"/>
      <c r="P72" s="107"/>
      <c r="Q72" s="107"/>
      <c r="R72" s="107"/>
      <c r="S72" s="107">
        <v>-2000000</v>
      </c>
      <c r="T72" s="107"/>
      <c r="U72" s="107"/>
      <c r="V72" s="107"/>
      <c r="W72" s="107"/>
      <c r="X72" s="190"/>
      <c r="Y72" s="107"/>
      <c r="Z72" s="131"/>
      <c r="AA72" s="131"/>
      <c r="AB72" s="131"/>
      <c r="AC72" s="131"/>
      <c r="AD72" s="25"/>
      <c r="AE72" s="25"/>
      <c r="AH72" s="9"/>
      <c r="AI72" s="9"/>
      <c r="AJ72" s="9"/>
      <c r="AK72" s="9"/>
      <c r="AL72" s="9"/>
      <c r="AM72" s="9"/>
      <c r="AN72" s="9"/>
      <c r="AO72" s="9"/>
      <c r="AP72" s="9"/>
      <c r="AQ72" s="9"/>
      <c r="AR72" s="9"/>
      <c r="AS72" s="9"/>
      <c r="AT72" s="9"/>
      <c r="AU72" s="9"/>
      <c r="AV72" s="9"/>
      <c r="AW72" s="9"/>
    </row>
    <row r="73" spans="1:49" x14ac:dyDescent="0.25">
      <c r="A73" s="131" t="s">
        <v>131</v>
      </c>
      <c r="B73" s="131" t="s">
        <v>89</v>
      </c>
      <c r="C73" s="131" t="s">
        <v>165</v>
      </c>
      <c r="D73" s="131" t="s">
        <v>49</v>
      </c>
      <c r="E73" s="131" t="s">
        <v>166</v>
      </c>
      <c r="F73" s="131" t="s">
        <v>131</v>
      </c>
      <c r="G73" s="131"/>
      <c r="H73" s="131" t="s">
        <v>167</v>
      </c>
      <c r="I73" s="131">
        <v>-633480</v>
      </c>
      <c r="J73" s="131"/>
      <c r="K73" s="131"/>
      <c r="L73" s="131"/>
      <c r="M73" s="131"/>
      <c r="N73" s="131"/>
      <c r="O73" s="107"/>
      <c r="P73" s="107"/>
      <c r="Q73" s="107"/>
      <c r="R73" s="107"/>
      <c r="S73" s="107">
        <v>-633480</v>
      </c>
      <c r="T73" s="107"/>
      <c r="U73" s="107"/>
      <c r="V73" s="107"/>
      <c r="W73" s="107"/>
      <c r="X73" s="190"/>
      <c r="Y73" s="107"/>
      <c r="Z73" s="131"/>
      <c r="AA73" s="131"/>
      <c r="AB73" s="131"/>
      <c r="AC73" s="131"/>
      <c r="AD73" s="25"/>
      <c r="AE73" s="25"/>
      <c r="AH73" s="9"/>
      <c r="AI73" s="9"/>
      <c r="AJ73" s="9"/>
      <c r="AK73" s="9"/>
      <c r="AL73" s="9"/>
      <c r="AM73" s="9"/>
      <c r="AN73" s="9"/>
      <c r="AO73" s="9"/>
      <c r="AP73" s="9"/>
      <c r="AQ73" s="9"/>
      <c r="AR73" s="9"/>
      <c r="AS73" s="9"/>
      <c r="AT73" s="9"/>
      <c r="AU73" s="9"/>
      <c r="AV73" s="9"/>
      <c r="AW73" s="9"/>
    </row>
    <row r="74" spans="1:49" x14ac:dyDescent="0.25">
      <c r="A74" s="141" t="s">
        <v>131</v>
      </c>
      <c r="B74" s="141" t="s">
        <v>171</v>
      </c>
      <c r="C74" s="141" t="s">
        <v>208</v>
      </c>
      <c r="D74" s="141" t="s">
        <v>49</v>
      </c>
      <c r="E74" s="141" t="s">
        <v>166</v>
      </c>
      <c r="F74" s="141" t="s">
        <v>112</v>
      </c>
      <c r="G74" s="141" t="s">
        <v>209</v>
      </c>
      <c r="H74" s="141" t="s">
        <v>210</v>
      </c>
      <c r="I74" s="141">
        <v>-105000</v>
      </c>
      <c r="J74" s="141"/>
      <c r="K74" s="141"/>
      <c r="L74" s="141"/>
      <c r="M74" s="141">
        <v>-105000</v>
      </c>
      <c r="N74" s="141"/>
      <c r="O74" s="107"/>
      <c r="P74" s="107"/>
      <c r="Q74" s="107"/>
      <c r="R74" s="107"/>
      <c r="S74" s="107"/>
      <c r="T74" s="107"/>
      <c r="U74" s="107"/>
      <c r="V74" s="107"/>
      <c r="W74" s="107"/>
      <c r="X74" s="190"/>
      <c r="Y74" s="107"/>
      <c r="Z74" s="141"/>
      <c r="AA74" s="141"/>
      <c r="AB74" s="141"/>
      <c r="AC74" s="141"/>
      <c r="AD74" s="25"/>
      <c r="AE74" s="25"/>
      <c r="AH74" s="9"/>
      <c r="AI74" s="9"/>
      <c r="AJ74" s="9"/>
      <c r="AK74" s="9"/>
      <c r="AL74" s="9"/>
      <c r="AM74" s="9"/>
      <c r="AN74" s="9"/>
      <c r="AO74" s="9"/>
      <c r="AP74" s="9"/>
      <c r="AQ74" s="9"/>
      <c r="AR74" s="9"/>
      <c r="AS74" s="9"/>
      <c r="AT74" s="9"/>
      <c r="AU74" s="9"/>
      <c r="AV74" s="9"/>
      <c r="AW74" s="9"/>
    </row>
    <row r="75" spans="1:49" x14ac:dyDescent="0.25">
      <c r="A75" s="141" t="s">
        <v>132</v>
      </c>
      <c r="B75" s="141" t="s">
        <v>102</v>
      </c>
      <c r="C75" s="141" t="s">
        <v>266</v>
      </c>
      <c r="D75" s="141" t="s">
        <v>169</v>
      </c>
      <c r="E75" s="141" t="s">
        <v>49</v>
      </c>
      <c r="F75" s="141" t="s">
        <v>133</v>
      </c>
      <c r="G75" s="141"/>
      <c r="H75" s="141" t="s">
        <v>205</v>
      </c>
      <c r="I75" s="141">
        <v>486888</v>
      </c>
      <c r="J75" s="141"/>
      <c r="K75" s="141"/>
      <c r="L75" s="141"/>
      <c r="M75" s="141"/>
      <c r="N75" s="141"/>
      <c r="O75" s="107"/>
      <c r="P75" s="107"/>
      <c r="Q75" s="107"/>
      <c r="R75" s="107"/>
      <c r="S75" s="107">
        <v>486888</v>
      </c>
      <c r="T75" s="107"/>
      <c r="U75" s="107"/>
      <c r="V75" s="107"/>
      <c r="W75" s="107"/>
      <c r="X75" s="190"/>
      <c r="Y75" s="107"/>
      <c r="Z75" s="141"/>
      <c r="AA75" s="141"/>
      <c r="AB75" s="141"/>
      <c r="AC75" s="141"/>
      <c r="AF75" s="67"/>
      <c r="AG75" s="67"/>
      <c r="AH75" s="9"/>
      <c r="AI75" s="9"/>
      <c r="AJ75" s="9"/>
      <c r="AK75" s="9"/>
      <c r="AL75" s="9"/>
      <c r="AM75" s="9"/>
      <c r="AN75" s="9"/>
      <c r="AO75" s="9"/>
      <c r="AP75" s="9"/>
      <c r="AQ75" s="9"/>
      <c r="AR75" s="9"/>
      <c r="AS75" s="9"/>
      <c r="AT75" s="9"/>
      <c r="AU75" s="9"/>
      <c r="AV75" s="9"/>
      <c r="AW75" s="9"/>
    </row>
    <row r="76" spans="1:49" x14ac:dyDescent="0.25">
      <c r="A76" s="141" t="s">
        <v>132</v>
      </c>
      <c r="B76" s="141" t="s">
        <v>89</v>
      </c>
      <c r="C76" s="141" t="s">
        <v>126</v>
      </c>
      <c r="D76" s="141" t="s">
        <v>49</v>
      </c>
      <c r="E76" s="141" t="s">
        <v>127</v>
      </c>
      <c r="F76" s="141" t="s">
        <v>132</v>
      </c>
      <c r="G76" s="141"/>
      <c r="H76" s="141" t="s">
        <v>129</v>
      </c>
      <c r="I76" s="141">
        <v>-480698</v>
      </c>
      <c r="J76" s="141"/>
      <c r="K76" s="141"/>
      <c r="L76" s="141"/>
      <c r="M76" s="141"/>
      <c r="N76" s="141"/>
      <c r="O76" s="107"/>
      <c r="P76" s="107"/>
      <c r="Q76" s="107"/>
      <c r="R76" s="107"/>
      <c r="S76" s="107">
        <v>-480698</v>
      </c>
      <c r="T76" s="107"/>
      <c r="U76" s="107"/>
      <c r="V76" s="107"/>
      <c r="W76" s="107"/>
      <c r="X76" s="190"/>
      <c r="Y76" s="107"/>
      <c r="Z76" s="141"/>
      <c r="AA76" s="141"/>
      <c r="AB76" s="141"/>
      <c r="AC76" s="141"/>
      <c r="AF76" s="67"/>
      <c r="AG76" s="67"/>
      <c r="AH76" s="9"/>
      <c r="AI76" s="9"/>
      <c r="AJ76" s="9"/>
      <c r="AK76" s="9"/>
      <c r="AL76" s="9"/>
      <c r="AM76" s="9"/>
      <c r="AN76" s="9"/>
      <c r="AO76" s="9"/>
      <c r="AP76" s="9"/>
      <c r="AQ76" s="9"/>
      <c r="AR76" s="9"/>
      <c r="AS76" s="9"/>
      <c r="AT76" s="9"/>
      <c r="AU76" s="9"/>
      <c r="AV76" s="9"/>
      <c r="AW76" s="9"/>
    </row>
    <row r="77" spans="1:49" x14ac:dyDescent="0.25">
      <c r="A77" s="141" t="s">
        <v>132</v>
      </c>
      <c r="B77" s="141" t="s">
        <v>89</v>
      </c>
      <c r="C77" s="141" t="s">
        <v>203</v>
      </c>
      <c r="D77" s="141" t="s">
        <v>49</v>
      </c>
      <c r="E77" s="141" t="s">
        <v>166</v>
      </c>
      <c r="F77" s="141" t="s">
        <v>132</v>
      </c>
      <c r="G77" s="141"/>
      <c r="H77" s="141" t="s">
        <v>167</v>
      </c>
      <c r="I77" s="141">
        <v>-25000</v>
      </c>
      <c r="J77" s="141"/>
      <c r="K77" s="141"/>
      <c r="L77" s="141"/>
      <c r="M77" s="141"/>
      <c r="N77" s="141"/>
      <c r="O77" s="107"/>
      <c r="P77" s="107"/>
      <c r="Q77" s="107"/>
      <c r="R77" s="107"/>
      <c r="S77" s="107">
        <v>-25000</v>
      </c>
      <c r="T77" s="107"/>
      <c r="U77" s="107"/>
      <c r="V77" s="107"/>
      <c r="W77" s="107"/>
      <c r="X77" s="190"/>
      <c r="Y77" s="107"/>
      <c r="Z77" s="141"/>
      <c r="AA77" s="141"/>
      <c r="AB77" s="141"/>
      <c r="AC77" s="141"/>
      <c r="AF77" s="67"/>
      <c r="AG77" s="67"/>
      <c r="AH77" s="9"/>
      <c r="AI77" s="9"/>
      <c r="AJ77" s="9"/>
      <c r="AK77" s="9"/>
      <c r="AL77" s="9"/>
      <c r="AM77" s="9"/>
      <c r="AN77" s="9"/>
      <c r="AO77" s="9"/>
      <c r="AP77" s="9"/>
      <c r="AQ77" s="9"/>
      <c r="AR77" s="9"/>
      <c r="AS77" s="9"/>
      <c r="AT77" s="9"/>
      <c r="AU77" s="9"/>
      <c r="AV77" s="9"/>
      <c r="AW77" s="9"/>
    </row>
    <row r="78" spans="1:49" x14ac:dyDescent="0.25">
      <c r="A78" s="141" t="s">
        <v>132</v>
      </c>
      <c r="B78" s="141" t="s">
        <v>89</v>
      </c>
      <c r="C78" s="141" t="s">
        <v>168</v>
      </c>
      <c r="D78" s="141" t="s">
        <v>49</v>
      </c>
      <c r="E78" s="141" t="s">
        <v>169</v>
      </c>
      <c r="F78" s="141" t="s">
        <v>132</v>
      </c>
      <c r="G78" s="141"/>
      <c r="H78" s="141" t="s">
        <v>170</v>
      </c>
      <c r="I78" s="141">
        <v>-473063</v>
      </c>
      <c r="J78" s="141"/>
      <c r="K78" s="141"/>
      <c r="L78" s="141"/>
      <c r="M78" s="141"/>
      <c r="N78" s="141"/>
      <c r="O78" s="107"/>
      <c r="P78" s="107"/>
      <c r="Q78" s="107"/>
      <c r="R78" s="107"/>
      <c r="S78" s="107">
        <v>-473063</v>
      </c>
      <c r="T78" s="107"/>
      <c r="U78" s="107"/>
      <c r="V78" s="107"/>
      <c r="W78" s="107"/>
      <c r="X78" s="190"/>
      <c r="Y78" s="107"/>
      <c r="Z78" s="141"/>
      <c r="AA78" s="141"/>
      <c r="AB78" s="141"/>
      <c r="AC78" s="141"/>
      <c r="AF78" s="67"/>
      <c r="AG78" s="67"/>
      <c r="AH78" s="9"/>
      <c r="AI78" s="9"/>
      <c r="AJ78" s="9"/>
      <c r="AK78" s="9"/>
      <c r="AL78" s="9"/>
      <c r="AM78" s="9"/>
      <c r="AN78" s="9"/>
      <c r="AO78" s="9"/>
      <c r="AP78" s="9"/>
      <c r="AQ78" s="9"/>
      <c r="AR78" s="9"/>
      <c r="AS78" s="9"/>
      <c r="AT78" s="9"/>
      <c r="AU78" s="9"/>
      <c r="AV78" s="9"/>
      <c r="AW78" s="9"/>
    </row>
    <row r="79" spans="1:49" x14ac:dyDescent="0.25">
      <c r="A79" s="141" t="s">
        <v>132</v>
      </c>
      <c r="B79" s="141" t="s">
        <v>90</v>
      </c>
      <c r="C79" s="141" t="s">
        <v>223</v>
      </c>
      <c r="D79" s="141" t="s">
        <v>111</v>
      </c>
      <c r="E79" s="141" t="s">
        <v>49</v>
      </c>
      <c r="F79" s="141" t="s">
        <v>133</v>
      </c>
      <c r="G79" s="141"/>
      <c r="H79" s="141" t="s">
        <v>224</v>
      </c>
      <c r="I79" s="141">
        <v>776983</v>
      </c>
      <c r="J79" s="141"/>
      <c r="K79" s="141"/>
      <c r="L79" s="141"/>
      <c r="M79" s="141">
        <v>776983</v>
      </c>
      <c r="N79" s="141"/>
      <c r="O79" s="107"/>
      <c r="P79" s="107"/>
      <c r="Q79" s="107"/>
      <c r="R79" s="107"/>
      <c r="S79" s="107"/>
      <c r="T79" s="107"/>
      <c r="U79" s="107"/>
      <c r="V79" s="107"/>
      <c r="W79" s="107"/>
      <c r="X79" s="190"/>
      <c r="Y79" s="107"/>
      <c r="Z79" s="141"/>
      <c r="AA79" s="141"/>
      <c r="AB79" s="141"/>
      <c r="AC79" s="141"/>
      <c r="AF79" s="67"/>
      <c r="AG79" s="67"/>
      <c r="AH79" s="9"/>
      <c r="AI79" s="9"/>
      <c r="AJ79" s="9"/>
      <c r="AK79" s="9"/>
      <c r="AL79" s="9"/>
      <c r="AM79" s="9"/>
      <c r="AN79" s="9"/>
      <c r="AO79" s="9"/>
      <c r="AP79" s="9"/>
      <c r="AQ79" s="9"/>
      <c r="AR79" s="9"/>
      <c r="AS79" s="9"/>
      <c r="AT79" s="9"/>
      <c r="AU79" s="9"/>
      <c r="AV79" s="9"/>
      <c r="AW79" s="9"/>
    </row>
    <row r="80" spans="1:49" x14ac:dyDescent="0.25">
      <c r="A80" s="141" t="s">
        <v>133</v>
      </c>
      <c r="B80" s="141" t="s">
        <v>89</v>
      </c>
      <c r="C80" s="141" t="s">
        <v>126</v>
      </c>
      <c r="D80" s="141" t="s">
        <v>49</v>
      </c>
      <c r="E80" s="141" t="s">
        <v>127</v>
      </c>
      <c r="F80" s="141" t="s">
        <v>133</v>
      </c>
      <c r="G80" s="141"/>
      <c r="H80" s="141" t="s">
        <v>129</v>
      </c>
      <c r="I80" s="141">
        <v>-571500</v>
      </c>
      <c r="J80" s="141"/>
      <c r="K80" s="141"/>
      <c r="L80" s="141"/>
      <c r="M80" s="141"/>
      <c r="N80" s="141"/>
      <c r="O80" s="107"/>
      <c r="P80" s="107"/>
      <c r="Q80" s="107"/>
      <c r="R80" s="107">
        <v>-571500</v>
      </c>
      <c r="S80" s="107"/>
      <c r="T80" s="107"/>
      <c r="U80" s="107"/>
      <c r="V80" s="107"/>
      <c r="W80" s="107"/>
      <c r="X80" s="190"/>
      <c r="Y80" s="107"/>
      <c r="Z80" s="141"/>
      <c r="AA80" s="141"/>
      <c r="AB80" s="141"/>
      <c r="AC80" s="141"/>
      <c r="AF80" s="67"/>
      <c r="AG80" s="67"/>
      <c r="AH80" s="9"/>
      <c r="AI80" s="9"/>
      <c r="AJ80" s="9"/>
      <c r="AK80" s="9"/>
      <c r="AL80" s="9"/>
      <c r="AM80" s="9"/>
      <c r="AN80" s="9"/>
      <c r="AO80" s="9"/>
      <c r="AP80" s="9"/>
      <c r="AQ80" s="9"/>
      <c r="AR80" s="9"/>
      <c r="AS80" s="9"/>
      <c r="AT80" s="9"/>
      <c r="AU80" s="9"/>
      <c r="AV80" s="9"/>
      <c r="AW80" s="9"/>
    </row>
    <row r="81" spans="1:49" x14ac:dyDescent="0.25">
      <c r="A81" s="141" t="s">
        <v>133</v>
      </c>
      <c r="B81" s="141" t="s">
        <v>89</v>
      </c>
      <c r="C81" s="141" t="s">
        <v>204</v>
      </c>
      <c r="D81" s="141" t="s">
        <v>49</v>
      </c>
      <c r="E81" s="141" t="s">
        <v>169</v>
      </c>
      <c r="F81" s="141" t="s">
        <v>133</v>
      </c>
      <c r="G81" s="141"/>
      <c r="H81" s="141" t="s">
        <v>205</v>
      </c>
      <c r="I81" s="141">
        <v>-1212842</v>
      </c>
      <c r="J81" s="141"/>
      <c r="K81" s="141"/>
      <c r="L81" s="141"/>
      <c r="M81" s="141"/>
      <c r="N81" s="141"/>
      <c r="O81" s="107"/>
      <c r="P81" s="107"/>
      <c r="Q81" s="107"/>
      <c r="R81" s="107">
        <v>-1212842</v>
      </c>
      <c r="S81" s="107"/>
      <c r="T81" s="107"/>
      <c r="U81" s="107"/>
      <c r="V81" s="107"/>
      <c r="W81" s="107"/>
      <c r="X81" s="190"/>
      <c r="Y81" s="107"/>
      <c r="Z81" s="141"/>
      <c r="AA81" s="141"/>
      <c r="AB81" s="141"/>
      <c r="AC81" s="141"/>
      <c r="AF81" s="67"/>
      <c r="AG81" s="67"/>
      <c r="AH81" s="9"/>
      <c r="AI81" s="9"/>
      <c r="AJ81" s="9"/>
      <c r="AK81" s="9"/>
      <c r="AL81" s="9"/>
      <c r="AM81" s="9"/>
      <c r="AN81" s="9"/>
      <c r="AO81" s="9"/>
      <c r="AP81" s="9"/>
      <c r="AQ81" s="9"/>
      <c r="AR81" s="9"/>
      <c r="AS81" s="9"/>
      <c r="AT81" s="9"/>
      <c r="AU81" s="9"/>
      <c r="AV81" s="9"/>
      <c r="AW81" s="9"/>
    </row>
    <row r="82" spans="1:49" x14ac:dyDescent="0.25">
      <c r="A82" s="107" t="s">
        <v>133</v>
      </c>
      <c r="B82" s="107" t="s">
        <v>89</v>
      </c>
      <c r="C82" s="107" t="s">
        <v>206</v>
      </c>
      <c r="D82" s="107" t="s">
        <v>49</v>
      </c>
      <c r="E82" s="107" t="s">
        <v>169</v>
      </c>
      <c r="F82" s="107" t="s">
        <v>133</v>
      </c>
      <c r="G82" s="107"/>
      <c r="H82" s="107" t="s">
        <v>207</v>
      </c>
      <c r="I82" s="107">
        <v>-560000</v>
      </c>
      <c r="J82" s="107"/>
      <c r="K82" s="107"/>
      <c r="L82" s="107"/>
      <c r="M82" s="107"/>
      <c r="N82" s="107"/>
      <c r="O82" s="107"/>
      <c r="P82" s="107"/>
      <c r="Q82" s="107"/>
      <c r="R82" s="107">
        <v>-560000</v>
      </c>
      <c r="S82" s="107"/>
      <c r="T82" s="107"/>
      <c r="U82" s="107"/>
      <c r="V82" s="107"/>
      <c r="W82" s="107"/>
      <c r="X82" s="190"/>
      <c r="Y82" s="107"/>
      <c r="Z82" s="141"/>
      <c r="AA82" s="141"/>
      <c r="AB82" s="141"/>
      <c r="AC82" s="141"/>
      <c r="AF82" s="67"/>
      <c r="AG82" s="67"/>
      <c r="AH82" s="9"/>
      <c r="AI82" s="9"/>
      <c r="AJ82" s="9"/>
      <c r="AK82" s="9"/>
      <c r="AL82" s="9"/>
      <c r="AM82" s="9"/>
      <c r="AN82" s="9"/>
      <c r="AO82" s="9"/>
      <c r="AP82" s="9"/>
      <c r="AQ82" s="9"/>
      <c r="AR82" s="9"/>
      <c r="AS82" s="9"/>
      <c r="AT82" s="9"/>
      <c r="AU82" s="9"/>
      <c r="AV82" s="9"/>
      <c r="AW82" s="9"/>
    </row>
    <row r="83" spans="1:49" x14ac:dyDescent="0.25">
      <c r="A83" s="107" t="s">
        <v>133</v>
      </c>
      <c r="B83" s="107" t="s">
        <v>89</v>
      </c>
      <c r="C83" s="107" t="s">
        <v>266</v>
      </c>
      <c r="D83" s="107" t="s">
        <v>49</v>
      </c>
      <c r="E83" s="107" t="s">
        <v>169</v>
      </c>
      <c r="F83" s="107" t="s">
        <v>133</v>
      </c>
      <c r="G83" s="107"/>
      <c r="H83" s="107" t="s">
        <v>205</v>
      </c>
      <c r="I83" s="107">
        <v>-486888</v>
      </c>
      <c r="J83" s="107"/>
      <c r="K83" s="107"/>
      <c r="L83" s="107"/>
      <c r="M83" s="107"/>
      <c r="N83" s="107"/>
      <c r="O83" s="107"/>
      <c r="P83" s="107"/>
      <c r="Q83" s="107"/>
      <c r="R83" s="107">
        <v>-486888</v>
      </c>
      <c r="S83" s="107"/>
      <c r="T83" s="107"/>
      <c r="U83" s="107"/>
      <c r="V83" s="107"/>
      <c r="W83" s="107"/>
      <c r="X83" s="190"/>
      <c r="Y83" s="107"/>
      <c r="Z83" s="141"/>
      <c r="AA83" s="141"/>
      <c r="AB83" s="141"/>
      <c r="AC83" s="141"/>
      <c r="AF83" s="67"/>
      <c r="AG83" s="67"/>
      <c r="AH83" s="9"/>
      <c r="AI83" s="9"/>
      <c r="AJ83" s="9"/>
      <c r="AK83" s="9"/>
      <c r="AL83" s="9"/>
      <c r="AM83" s="9"/>
      <c r="AN83" s="9"/>
      <c r="AO83" s="9"/>
      <c r="AP83" s="9"/>
      <c r="AQ83" s="9"/>
      <c r="AR83" s="9"/>
      <c r="AS83" s="9"/>
      <c r="AT83" s="9"/>
      <c r="AU83" s="9"/>
      <c r="AV83" s="9"/>
      <c r="AW83" s="9"/>
    </row>
    <row r="84" spans="1:49" x14ac:dyDescent="0.25">
      <c r="A84" s="107" t="s">
        <v>133</v>
      </c>
      <c r="B84" s="107" t="s">
        <v>171</v>
      </c>
      <c r="C84" s="107" t="s">
        <v>225</v>
      </c>
      <c r="D84" s="107" t="s">
        <v>49</v>
      </c>
      <c r="E84" s="107" t="s">
        <v>111</v>
      </c>
      <c r="F84" s="107" t="s">
        <v>133</v>
      </c>
      <c r="G84" s="107"/>
      <c r="H84" s="107" t="s">
        <v>224</v>
      </c>
      <c r="I84" s="107">
        <v>-776983</v>
      </c>
      <c r="J84" s="107"/>
      <c r="K84" s="107"/>
      <c r="L84" s="107"/>
      <c r="M84" s="107"/>
      <c r="N84" s="107"/>
      <c r="O84" s="107"/>
      <c r="P84" s="107"/>
      <c r="Q84" s="107"/>
      <c r="R84" s="107">
        <v>-776983</v>
      </c>
      <c r="S84" s="107"/>
      <c r="T84" s="107"/>
      <c r="U84" s="107"/>
      <c r="V84" s="107"/>
      <c r="W84" s="107"/>
      <c r="X84" s="190"/>
      <c r="Y84" s="107"/>
      <c r="Z84" s="141"/>
      <c r="AA84" s="141"/>
      <c r="AB84" s="141"/>
      <c r="AC84" s="141"/>
      <c r="AF84" s="67"/>
      <c r="AG84" s="67"/>
      <c r="AH84" s="9"/>
      <c r="AI84" s="9"/>
      <c r="AJ84" s="9"/>
      <c r="AK84" s="9"/>
      <c r="AL84" s="9"/>
      <c r="AM84" s="9"/>
      <c r="AN84" s="9"/>
      <c r="AO84" s="9"/>
      <c r="AP84" s="9"/>
      <c r="AQ84" s="9"/>
      <c r="AR84" s="9"/>
      <c r="AS84" s="9"/>
      <c r="AT84" s="9"/>
      <c r="AU84" s="9"/>
      <c r="AV84" s="9"/>
      <c r="AW84" s="9"/>
    </row>
    <row r="85" spans="1:49" x14ac:dyDescent="0.25">
      <c r="A85" s="107" t="s">
        <v>217</v>
      </c>
      <c r="B85" s="107" t="s">
        <v>89</v>
      </c>
      <c r="C85" s="107" t="s">
        <v>203</v>
      </c>
      <c r="D85" s="107" t="s">
        <v>49</v>
      </c>
      <c r="E85" s="107" t="s">
        <v>166</v>
      </c>
      <c r="F85" s="107" t="s">
        <v>217</v>
      </c>
      <c r="G85" s="107"/>
      <c r="H85" s="107" t="s">
        <v>167</v>
      </c>
      <c r="I85" s="107">
        <v>-171124</v>
      </c>
      <c r="J85" s="107"/>
      <c r="K85" s="107"/>
      <c r="L85" s="107"/>
      <c r="M85" s="107"/>
      <c r="N85" s="107"/>
      <c r="O85" s="107"/>
      <c r="P85" s="107"/>
      <c r="Q85" s="107"/>
      <c r="R85" s="107"/>
      <c r="S85" s="107">
        <v>-171124</v>
      </c>
      <c r="T85" s="107"/>
      <c r="U85" s="107"/>
      <c r="V85" s="107"/>
      <c r="W85" s="107"/>
      <c r="X85" s="190"/>
      <c r="Y85" s="107"/>
      <c r="Z85" s="141"/>
      <c r="AA85" s="141"/>
      <c r="AB85" s="141"/>
      <c r="AC85" s="141"/>
      <c r="AF85" s="67"/>
      <c r="AG85" s="67"/>
      <c r="AH85" s="9"/>
      <c r="AI85" s="9"/>
      <c r="AJ85" s="9"/>
      <c r="AK85" s="9"/>
      <c r="AL85" s="9"/>
      <c r="AM85" s="9"/>
      <c r="AN85" s="9"/>
      <c r="AO85" s="9"/>
      <c r="AP85" s="9"/>
      <c r="AQ85" s="9"/>
      <c r="AR85" s="9"/>
      <c r="AS85" s="9"/>
      <c r="AT85" s="9"/>
      <c r="AU85" s="9"/>
      <c r="AV85" s="9"/>
      <c r="AW85" s="9"/>
    </row>
    <row r="86" spans="1:49" x14ac:dyDescent="0.25">
      <c r="A86" s="107"/>
      <c r="B86" s="107"/>
      <c r="C86" s="107"/>
      <c r="D86" s="107"/>
      <c r="E86" s="107"/>
      <c r="F86" s="107"/>
      <c r="G86" s="107"/>
      <c r="H86" s="107"/>
      <c r="I86" s="107"/>
      <c r="J86" s="107"/>
      <c r="K86" s="107"/>
      <c r="L86" s="107"/>
      <c r="M86" s="107"/>
      <c r="N86" s="107"/>
      <c r="O86" s="107"/>
      <c r="P86" s="107"/>
      <c r="Q86" s="107"/>
      <c r="R86" s="107"/>
      <c r="S86" s="107"/>
      <c r="T86" s="107"/>
      <c r="U86" s="107"/>
      <c r="V86" s="107"/>
      <c r="W86" s="107"/>
      <c r="X86" s="107"/>
      <c r="Y86" s="107"/>
      <c r="Z86" s="141"/>
      <c r="AA86" s="141"/>
      <c r="AB86" s="141"/>
      <c r="AC86" s="141"/>
      <c r="AD86" s="25"/>
      <c r="AE86" s="25"/>
      <c r="AH86" s="9"/>
      <c r="AI86" s="9"/>
      <c r="AJ86" s="9"/>
      <c r="AK86" s="9"/>
      <c r="AL86" s="9"/>
      <c r="AM86" s="9"/>
      <c r="AN86" s="9"/>
      <c r="AO86" s="9"/>
      <c r="AP86" s="9"/>
      <c r="AQ86" s="9"/>
      <c r="AR86" s="9"/>
      <c r="AS86" s="9"/>
      <c r="AT86" s="9"/>
      <c r="AU86" s="9"/>
      <c r="AV86" s="9"/>
      <c r="AW86" s="9"/>
    </row>
    <row r="87" spans="1:49" x14ac:dyDescent="0.25">
      <c r="A87" s="65" t="s">
        <v>134</v>
      </c>
      <c r="AT87" s="9"/>
      <c r="AU87" s="9"/>
      <c r="AV87" s="9"/>
      <c r="AW87" s="9"/>
    </row>
    <row r="89" spans="1:49" x14ac:dyDescent="0.25">
      <c r="A89" s="67" t="s">
        <v>135</v>
      </c>
      <c r="B89" s="68" t="s">
        <v>136</v>
      </c>
      <c r="C89" s="67" t="s">
        <v>137</v>
      </c>
      <c r="D89" s="67" t="s">
        <v>144</v>
      </c>
      <c r="E89" s="67" t="s">
        <v>138</v>
      </c>
      <c r="F89" s="66" t="s">
        <v>95</v>
      </c>
      <c r="H89" s="25"/>
      <c r="AV89" s="9"/>
      <c r="AW89" s="9"/>
    </row>
    <row r="90" spans="1:49" x14ac:dyDescent="0.25">
      <c r="A90" s="67" t="s">
        <v>139</v>
      </c>
      <c r="B90" s="68" t="s">
        <v>130</v>
      </c>
      <c r="C90" s="67" t="s">
        <v>140</v>
      </c>
      <c r="D90" s="116">
        <v>58100</v>
      </c>
      <c r="E90" s="116">
        <v>58100</v>
      </c>
      <c r="F90" s="115" t="s">
        <v>158</v>
      </c>
      <c r="H90" s="25"/>
      <c r="AV90" s="9"/>
      <c r="AW90" s="9"/>
    </row>
    <row r="91" spans="1:49" x14ac:dyDescent="0.25">
      <c r="A91" s="67" t="s">
        <v>141</v>
      </c>
      <c r="B91" s="68" t="s">
        <v>130</v>
      </c>
      <c r="C91" s="67" t="s">
        <v>140</v>
      </c>
      <c r="D91" s="116">
        <v>101500</v>
      </c>
      <c r="E91" s="116">
        <v>101500</v>
      </c>
      <c r="F91" s="115" t="s">
        <v>158</v>
      </c>
      <c r="H91" s="25"/>
      <c r="AV91" s="9"/>
      <c r="AW91" s="9"/>
    </row>
    <row r="92" spans="1:49" x14ac:dyDescent="0.25">
      <c r="A92" s="67" t="s">
        <v>142</v>
      </c>
      <c r="B92" s="68" t="s">
        <v>130</v>
      </c>
      <c r="C92" s="67" t="s">
        <v>140</v>
      </c>
      <c r="D92" s="116"/>
      <c r="E92" s="116">
        <v>82100</v>
      </c>
      <c r="F92" s="115" t="s">
        <v>158</v>
      </c>
      <c r="H92" s="25"/>
      <c r="AV92" s="9"/>
      <c r="AW92" s="9"/>
    </row>
    <row r="93" spans="1:49" x14ac:dyDescent="0.25">
      <c r="A93" s="67" t="s">
        <v>139</v>
      </c>
      <c r="B93" s="68" t="s">
        <v>130</v>
      </c>
      <c r="C93" s="67" t="s">
        <v>143</v>
      </c>
      <c r="D93" s="116">
        <f>3020949.39-58100-58100</f>
        <v>2904749.39</v>
      </c>
      <c r="E93" s="116">
        <v>2905000</v>
      </c>
      <c r="F93" s="115" t="s">
        <v>160</v>
      </c>
      <c r="H93" s="25"/>
      <c r="AV93" s="9"/>
      <c r="AW93" s="9"/>
    </row>
    <row r="94" spans="1:49" x14ac:dyDescent="0.25">
      <c r="A94" s="67" t="s">
        <v>139</v>
      </c>
      <c r="B94" s="68" t="s">
        <v>130</v>
      </c>
      <c r="C94" s="67" t="s">
        <v>140</v>
      </c>
      <c r="D94" s="116">
        <v>58100</v>
      </c>
      <c r="E94" s="116">
        <v>58100</v>
      </c>
      <c r="F94" s="115" t="s">
        <v>159</v>
      </c>
      <c r="H94" s="25"/>
      <c r="AV94" s="9"/>
      <c r="AW94" s="9"/>
    </row>
    <row r="95" spans="1:49" x14ac:dyDescent="0.25">
      <c r="A95" s="67" t="s">
        <v>141</v>
      </c>
      <c r="B95" s="68" t="s">
        <v>130</v>
      </c>
      <c r="C95" s="67" t="s">
        <v>140</v>
      </c>
      <c r="D95" s="116">
        <f>437505.29-101500-101500</f>
        <v>234505.28999999998</v>
      </c>
      <c r="E95" s="116">
        <v>5075000</v>
      </c>
      <c r="F95" s="115" t="s">
        <v>160</v>
      </c>
      <c r="H95" s="25"/>
      <c r="AV95" s="9"/>
      <c r="AW95" s="9"/>
    </row>
    <row r="96" spans="1:49" x14ac:dyDescent="0.25">
      <c r="A96" s="67" t="s">
        <v>141</v>
      </c>
      <c r="B96" s="68" t="s">
        <v>130</v>
      </c>
      <c r="C96" s="67" t="s">
        <v>140</v>
      </c>
      <c r="D96" s="116">
        <v>101500</v>
      </c>
      <c r="E96" s="116">
        <v>101500</v>
      </c>
      <c r="F96" s="115" t="s">
        <v>159</v>
      </c>
      <c r="H96" s="25"/>
      <c r="AV96" s="9"/>
      <c r="AW96" s="9"/>
    </row>
    <row r="97" spans="1:49" x14ac:dyDescent="0.25">
      <c r="A97" s="67" t="s">
        <v>142</v>
      </c>
      <c r="B97" s="68" t="s">
        <v>130</v>
      </c>
      <c r="C97" s="67" t="s">
        <v>140</v>
      </c>
      <c r="D97" s="116"/>
      <c r="E97" s="116">
        <v>4105000</v>
      </c>
      <c r="F97" s="115" t="s">
        <v>160</v>
      </c>
      <c r="H97" s="25"/>
      <c r="AV97" s="9"/>
      <c r="AW97" s="9"/>
    </row>
    <row r="98" spans="1:49" x14ac:dyDescent="0.25">
      <c r="A98" s="67" t="s">
        <v>142</v>
      </c>
      <c r="B98" s="68" t="s">
        <v>130</v>
      </c>
      <c r="C98" s="67" t="s">
        <v>140</v>
      </c>
      <c r="D98" s="116"/>
      <c r="E98" s="116">
        <v>82100</v>
      </c>
      <c r="F98" s="115" t="s">
        <v>159</v>
      </c>
      <c r="H98" s="25"/>
      <c r="AV98" s="9"/>
      <c r="AW98" s="9"/>
    </row>
    <row r="99" spans="1:49" x14ac:dyDescent="0.25">
      <c r="A99" s="67" t="s">
        <v>10</v>
      </c>
      <c r="B99" s="67"/>
      <c r="C99" s="67"/>
      <c r="D99" s="67">
        <f>SUBTOTAL(109,D90:D98)</f>
        <v>3458454.68</v>
      </c>
      <c r="E99" s="67">
        <f>SUBTOTAL(109,E90:E98)</f>
        <v>12568400</v>
      </c>
      <c r="F99" s="67"/>
      <c r="H99" s="25"/>
      <c r="AV99" s="9"/>
      <c r="AW99" s="9"/>
    </row>
  </sheetData>
  <mergeCells count="5">
    <mergeCell ref="A1:F1"/>
    <mergeCell ref="A3:F3"/>
    <mergeCell ref="A9:G9"/>
    <mergeCell ref="A51:G51"/>
    <mergeCell ref="A7:H7"/>
  </mergeCells>
  <pageMargins left="0.7" right="0.7" top="0.75" bottom="0.75" header="0.3" footer="0.3"/>
  <pageSetup paperSize="17" scale="76" orientation="landscape"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6"/>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63" t="s">
        <v>14</v>
      </c>
      <c r="C1" s="263"/>
      <c r="D1" s="263"/>
      <c r="E1" s="263"/>
    </row>
    <row r="2" spans="1:5" ht="81.75" customHeight="1" x14ac:dyDescent="0.35">
      <c r="A2" s="1">
        <v>1</v>
      </c>
      <c r="B2" s="264" t="s">
        <v>16</v>
      </c>
      <c r="C2" s="264"/>
      <c r="D2" s="264"/>
      <c r="E2" s="264"/>
    </row>
    <row r="3" spans="1:5" ht="14.45" x14ac:dyDescent="0.35">
      <c r="B3" s="3"/>
      <c r="C3" s="3"/>
      <c r="D3" s="3"/>
      <c r="E3" s="3"/>
    </row>
    <row r="4" spans="1:5" ht="33" customHeight="1" x14ac:dyDescent="0.35">
      <c r="A4" s="1">
        <v>2</v>
      </c>
      <c r="B4" s="264" t="s">
        <v>17</v>
      </c>
      <c r="C4" s="264"/>
      <c r="D4" s="264"/>
      <c r="E4" s="264"/>
    </row>
    <row r="5" spans="1:5" x14ac:dyDescent="0.25">
      <c r="B5" s="3"/>
      <c r="C5" s="3"/>
      <c r="D5" s="3"/>
      <c r="E5" s="3"/>
    </row>
    <row r="6" spans="1:5" s="17" customFormat="1" ht="114" customHeight="1" x14ac:dyDescent="0.25">
      <c r="A6" s="18">
        <v>3</v>
      </c>
      <c r="B6" s="272" t="s">
        <v>67</v>
      </c>
      <c r="C6" s="272"/>
      <c r="D6" s="272"/>
      <c r="E6" s="272"/>
    </row>
    <row r="7" spans="1:5" s="17" customFormat="1" x14ac:dyDescent="0.25">
      <c r="A7" s="18"/>
      <c r="B7" s="19"/>
      <c r="C7" s="19"/>
      <c r="D7" s="19"/>
      <c r="E7" s="19"/>
    </row>
    <row r="8" spans="1:5" s="117" customFormat="1" ht="18" customHeight="1" x14ac:dyDescent="0.25">
      <c r="A8" s="18">
        <v>4</v>
      </c>
      <c r="B8" s="267" t="s">
        <v>60</v>
      </c>
      <c r="C8" s="267"/>
      <c r="D8" s="8"/>
      <c r="E8" s="8"/>
    </row>
    <row r="9" spans="1:5" s="117" customFormat="1" ht="18" customHeight="1" x14ac:dyDescent="0.25">
      <c r="A9" s="18"/>
      <c r="B9" s="266" t="s">
        <v>238</v>
      </c>
      <c r="C9" s="266"/>
      <c r="D9" s="13">
        <v>1250000</v>
      </c>
    </row>
    <row r="10" spans="1:5" s="117" customFormat="1" ht="18" customHeight="1" x14ac:dyDescent="0.25">
      <c r="A10" s="18"/>
      <c r="B10" s="264" t="s">
        <v>239</v>
      </c>
      <c r="C10" s="264"/>
      <c r="D10" s="12">
        <f>-187500-125000</f>
        <v>-312500</v>
      </c>
    </row>
    <row r="11" spans="1:5" s="117" customFormat="1" ht="18" customHeight="1" x14ac:dyDescent="0.25">
      <c r="A11" s="18"/>
      <c r="B11" s="266" t="s">
        <v>240</v>
      </c>
      <c r="C11" s="266"/>
      <c r="D11" s="14">
        <f>+D9+D10</f>
        <v>937500</v>
      </c>
    </row>
    <row r="12" spans="1:5" s="117" customFormat="1" ht="31.5" customHeight="1" x14ac:dyDescent="0.25">
      <c r="A12" s="18"/>
      <c r="B12" s="264" t="s">
        <v>241</v>
      </c>
      <c r="C12" s="264"/>
      <c r="D12" s="11">
        <f>1250000*0.25</f>
        <v>312500</v>
      </c>
    </row>
    <row r="13" spans="1:5" s="117" customFormat="1" ht="36.75" customHeight="1" x14ac:dyDescent="0.25">
      <c r="A13" s="18"/>
      <c r="B13" s="266" t="s">
        <v>242</v>
      </c>
      <c r="C13" s="266"/>
      <c r="D13" s="15">
        <f>SUM(D11:D12)</f>
        <v>1250000</v>
      </c>
    </row>
    <row r="14" spans="1:5" s="17" customFormat="1" ht="18" customHeight="1" x14ac:dyDescent="0.25">
      <c r="A14" s="18"/>
      <c r="B14" s="22"/>
      <c r="C14" s="22"/>
      <c r="D14" s="23"/>
    </row>
    <row r="15" spans="1:5" s="17" customFormat="1" ht="84.75" customHeight="1" x14ac:dyDescent="0.25">
      <c r="A15" s="1">
        <v>5</v>
      </c>
      <c r="B15" s="265" t="s">
        <v>61</v>
      </c>
      <c r="C15" s="265"/>
      <c r="D15" s="265"/>
      <c r="E15" s="265"/>
    </row>
    <row r="16" spans="1:5" x14ac:dyDescent="0.25">
      <c r="B16" s="3"/>
      <c r="C16" s="3"/>
      <c r="D16" s="3"/>
      <c r="E16" s="3"/>
    </row>
    <row r="17" spans="1:5" ht="14.45" customHeight="1" x14ac:dyDescent="0.25">
      <c r="A17" s="1">
        <v>6</v>
      </c>
      <c r="B17" s="264" t="s">
        <v>243</v>
      </c>
      <c r="C17" s="264"/>
      <c r="D17" s="264"/>
      <c r="E17" s="264"/>
    </row>
    <row r="18" spans="1:5" x14ac:dyDescent="0.25">
      <c r="B18" s="10"/>
      <c r="C18" s="10"/>
      <c r="D18" s="10"/>
      <c r="E18" s="10"/>
    </row>
    <row r="19" spans="1:5" ht="33" customHeight="1" x14ac:dyDescent="0.25">
      <c r="A19" s="1">
        <v>7</v>
      </c>
      <c r="B19" s="264" t="s">
        <v>38</v>
      </c>
      <c r="C19" s="264"/>
      <c r="D19" s="264"/>
      <c r="E19" s="264"/>
    </row>
    <row r="20" spans="1:5" ht="14.25" customHeight="1" x14ac:dyDescent="0.25">
      <c r="B20" s="7"/>
      <c r="C20" s="7"/>
      <c r="D20" s="7"/>
      <c r="E20" s="7"/>
    </row>
    <row r="21" spans="1:5" ht="47.25" customHeight="1" x14ac:dyDescent="0.25">
      <c r="A21" s="1">
        <v>8</v>
      </c>
      <c r="B21" s="264" t="s">
        <v>39</v>
      </c>
      <c r="C21" s="264"/>
      <c r="D21" s="264"/>
      <c r="E21" s="264"/>
    </row>
    <row r="22" spans="1:5" ht="15" customHeight="1" x14ac:dyDescent="0.25">
      <c r="B22" s="7"/>
      <c r="C22" s="7"/>
      <c r="D22" s="7"/>
      <c r="E22" s="7"/>
    </row>
    <row r="23" spans="1:5" ht="32.25" customHeight="1" x14ac:dyDescent="0.25">
      <c r="A23" s="1">
        <v>9</v>
      </c>
      <c r="B23" s="264" t="s">
        <v>37</v>
      </c>
      <c r="C23" s="264"/>
      <c r="D23" s="264"/>
      <c r="E23" s="264"/>
    </row>
    <row r="24" spans="1:5" ht="15" customHeight="1" x14ac:dyDescent="0.25">
      <c r="B24" s="7"/>
      <c r="C24" s="7"/>
      <c r="D24" s="7"/>
      <c r="E24" s="7"/>
    </row>
    <row r="25" spans="1:5" ht="33" customHeight="1" x14ac:dyDescent="0.25">
      <c r="A25" s="1">
        <v>10</v>
      </c>
      <c r="B25" s="264" t="s">
        <v>40</v>
      </c>
      <c r="C25" s="264"/>
      <c r="D25" s="264"/>
      <c r="E25" s="264"/>
    </row>
    <row r="26" spans="1:5" x14ac:dyDescent="0.25">
      <c r="B26" s="3"/>
      <c r="C26" s="3"/>
      <c r="D26" s="3"/>
      <c r="E26" s="3"/>
    </row>
    <row r="27" spans="1:5" ht="30" customHeight="1" x14ac:dyDescent="0.25">
      <c r="A27" s="1">
        <v>11</v>
      </c>
      <c r="B27" s="264" t="s">
        <v>41</v>
      </c>
      <c r="C27" s="264"/>
      <c r="D27" s="264"/>
      <c r="E27" s="264"/>
    </row>
    <row r="28" spans="1:5" x14ac:dyDescent="0.25">
      <c r="B28" s="3"/>
      <c r="C28" s="3"/>
      <c r="D28" s="3"/>
      <c r="E28" s="3"/>
    </row>
    <row r="29" spans="1:5" ht="31.5" customHeight="1" x14ac:dyDescent="0.25">
      <c r="A29" s="1">
        <v>12</v>
      </c>
      <c r="B29" s="264" t="s">
        <v>42</v>
      </c>
      <c r="C29" s="264"/>
      <c r="D29" s="264"/>
      <c r="E29" s="264"/>
    </row>
    <row r="30" spans="1:5" x14ac:dyDescent="0.25">
      <c r="B30" s="7"/>
      <c r="C30" s="7"/>
      <c r="D30" s="7"/>
      <c r="E30" s="7"/>
    </row>
    <row r="31" spans="1:5" ht="34.5" customHeight="1" x14ac:dyDescent="0.25">
      <c r="A31" s="1">
        <v>13</v>
      </c>
      <c r="B31" s="264" t="s">
        <v>18</v>
      </c>
      <c r="C31" s="264"/>
      <c r="D31" s="264"/>
      <c r="E31" s="264"/>
    </row>
    <row r="32" spans="1:5" ht="16.5" customHeight="1" x14ac:dyDescent="0.25">
      <c r="B32" s="3"/>
      <c r="C32" s="3"/>
      <c r="D32" s="3"/>
      <c r="E32" s="3"/>
    </row>
    <row r="33" spans="1:5" ht="64.5" customHeight="1" x14ac:dyDescent="0.25">
      <c r="A33" s="1">
        <v>14</v>
      </c>
      <c r="B33" s="264" t="s">
        <v>19</v>
      </c>
      <c r="C33" s="264"/>
      <c r="D33" s="264"/>
      <c r="E33" s="264"/>
    </row>
    <row r="34" spans="1:5" ht="14.25" customHeight="1" x14ac:dyDescent="0.25">
      <c r="B34" s="3"/>
      <c r="C34" s="3"/>
      <c r="D34" s="3"/>
      <c r="E34" s="3"/>
    </row>
    <row r="35" spans="1:5" x14ac:dyDescent="0.25">
      <c r="A35" s="1">
        <v>15</v>
      </c>
      <c r="B35" s="267" t="s">
        <v>34</v>
      </c>
      <c r="C35" s="267"/>
      <c r="D35" s="267"/>
      <c r="E35" s="267"/>
    </row>
    <row r="36" spans="1:5" x14ac:dyDescent="0.25">
      <c r="B36" s="16" t="s">
        <v>7</v>
      </c>
      <c r="C36" s="270" t="s">
        <v>20</v>
      </c>
      <c r="D36" s="270"/>
      <c r="E36" s="270"/>
    </row>
    <row r="37" spans="1:5" x14ac:dyDescent="0.25">
      <c r="B37" s="5" t="s">
        <v>21</v>
      </c>
      <c r="C37" s="271" t="s">
        <v>28</v>
      </c>
      <c r="D37" s="271"/>
      <c r="E37" s="271"/>
    </row>
    <row r="38" spans="1:5" x14ac:dyDescent="0.25">
      <c r="B38" s="16" t="s">
        <v>22</v>
      </c>
      <c r="C38" s="270" t="s">
        <v>29</v>
      </c>
      <c r="D38" s="270"/>
      <c r="E38" s="270"/>
    </row>
    <row r="39" spans="1:5" x14ac:dyDescent="0.25">
      <c r="B39" s="5" t="s">
        <v>23</v>
      </c>
      <c r="C39" s="271" t="s">
        <v>32</v>
      </c>
      <c r="D39" s="271"/>
      <c r="E39" s="271"/>
    </row>
    <row r="40" spans="1:5" x14ac:dyDescent="0.25">
      <c r="B40" s="16" t="s">
        <v>9</v>
      </c>
      <c r="C40" s="270" t="s">
        <v>30</v>
      </c>
      <c r="D40" s="270"/>
      <c r="E40" s="270"/>
    </row>
    <row r="41" spans="1:5" x14ac:dyDescent="0.25">
      <c r="B41" s="5" t="s">
        <v>8</v>
      </c>
      <c r="C41" s="271" t="s">
        <v>24</v>
      </c>
      <c r="D41" s="271"/>
      <c r="E41" s="271"/>
    </row>
    <row r="42" spans="1:5" x14ac:dyDescent="0.25">
      <c r="B42" s="16" t="s">
        <v>25</v>
      </c>
      <c r="C42" s="270" t="s">
        <v>26</v>
      </c>
      <c r="D42" s="270"/>
      <c r="E42" s="270"/>
    </row>
    <row r="43" spans="1:5" x14ac:dyDescent="0.25">
      <c r="B43" s="5" t="s">
        <v>27</v>
      </c>
      <c r="C43" s="271" t="s">
        <v>31</v>
      </c>
      <c r="D43" s="271"/>
      <c r="E43" s="271"/>
    </row>
    <row r="44" spans="1:5" s="17" customFormat="1" x14ac:dyDescent="0.25">
      <c r="A44" s="18"/>
      <c r="B44" s="20"/>
      <c r="C44" s="21"/>
      <c r="D44" s="21"/>
      <c r="E44" s="21"/>
    </row>
    <row r="45" spans="1:5" s="17" customFormat="1" x14ac:dyDescent="0.25">
      <c r="A45" s="18">
        <v>16</v>
      </c>
      <c r="B45" s="24" t="s">
        <v>68</v>
      </c>
      <c r="C45" s="21"/>
      <c r="D45" s="21"/>
      <c r="E45" s="21"/>
    </row>
    <row r="46" spans="1:5" s="17" customFormat="1" ht="30" customHeight="1" x14ac:dyDescent="0.25">
      <c r="A46" s="18"/>
      <c r="B46" s="16" t="s">
        <v>53</v>
      </c>
      <c r="C46" s="270" t="s">
        <v>70</v>
      </c>
      <c r="D46" s="270"/>
      <c r="E46" s="270"/>
    </row>
    <row r="47" spans="1:5" s="17" customFormat="1" x14ac:dyDescent="0.25">
      <c r="A47" s="18"/>
      <c r="B47" s="20" t="s">
        <v>54</v>
      </c>
      <c r="C47" s="271" t="s">
        <v>69</v>
      </c>
      <c r="D47" s="271"/>
      <c r="E47" s="271"/>
    </row>
    <row r="48" spans="1:5" s="17" customFormat="1" ht="48.75" customHeight="1" x14ac:dyDescent="0.25">
      <c r="A48" s="18"/>
      <c r="B48" s="16" t="s">
        <v>55</v>
      </c>
      <c r="C48" s="270" t="s">
        <v>72</v>
      </c>
      <c r="D48" s="270"/>
      <c r="E48" s="270"/>
    </row>
    <row r="49" spans="1:5" s="17" customFormat="1" ht="29.25" customHeight="1" x14ac:dyDescent="0.25">
      <c r="A49" s="18"/>
      <c r="B49" s="20" t="s">
        <v>56</v>
      </c>
      <c r="C49" s="271" t="s">
        <v>71</v>
      </c>
      <c r="D49" s="271"/>
      <c r="E49" s="271"/>
    </row>
    <row r="50" spans="1:5" x14ac:dyDescent="0.25">
      <c r="B50" s="5"/>
      <c r="C50" s="6"/>
      <c r="D50" s="6"/>
      <c r="E50" s="6"/>
    </row>
    <row r="51" spans="1:5" ht="94.5" customHeight="1" x14ac:dyDescent="0.25">
      <c r="A51" s="1">
        <v>17</v>
      </c>
      <c r="B51" s="269" t="s">
        <v>33</v>
      </c>
      <c r="C51" s="269"/>
      <c r="D51" s="269"/>
      <c r="E51" s="269"/>
    </row>
    <row r="52" spans="1:5" s="17" customFormat="1" ht="16.5" customHeight="1" x14ac:dyDescent="0.25">
      <c r="A52" s="18"/>
      <c r="B52" s="123"/>
      <c r="C52" s="123"/>
      <c r="D52" s="123"/>
      <c r="E52" s="123"/>
    </row>
    <row r="53" spans="1:5" s="17" customFormat="1" ht="31.9" customHeight="1" x14ac:dyDescent="0.25">
      <c r="A53" s="18">
        <v>18</v>
      </c>
      <c r="B53" s="264" t="s">
        <v>261</v>
      </c>
      <c r="C53" s="264"/>
      <c r="D53" s="264"/>
      <c r="E53" s="264"/>
    </row>
    <row r="55" spans="1:5" x14ac:dyDescent="0.25">
      <c r="B55" s="2"/>
    </row>
    <row r="56" spans="1:5" x14ac:dyDescent="0.25">
      <c r="A56" s="268" t="s">
        <v>35</v>
      </c>
      <c r="B56" s="268"/>
      <c r="C56" s="268"/>
      <c r="D56" s="268"/>
      <c r="E56" s="268"/>
    </row>
  </sheetData>
  <mergeCells count="36">
    <mergeCell ref="B53:E53"/>
    <mergeCell ref="B25:E25"/>
    <mergeCell ref="B27:E27"/>
    <mergeCell ref="B17:E17"/>
    <mergeCell ref="B6:E6"/>
    <mergeCell ref="C49:E49"/>
    <mergeCell ref="C48:E48"/>
    <mergeCell ref="B29:E29"/>
    <mergeCell ref="B31:E31"/>
    <mergeCell ref="B33:E33"/>
    <mergeCell ref="A56:E56"/>
    <mergeCell ref="B19:E19"/>
    <mergeCell ref="B51:E51"/>
    <mergeCell ref="B35:E35"/>
    <mergeCell ref="C36:E36"/>
    <mergeCell ref="C37:E37"/>
    <mergeCell ref="C38:E38"/>
    <mergeCell ref="C39:E39"/>
    <mergeCell ref="C40:E40"/>
    <mergeCell ref="C41:E41"/>
    <mergeCell ref="C42:E42"/>
    <mergeCell ref="C43:E43"/>
    <mergeCell ref="B21:E21"/>
    <mergeCell ref="B23:E23"/>
    <mergeCell ref="C46:E46"/>
    <mergeCell ref="C47:E47"/>
    <mergeCell ref="B1:E1"/>
    <mergeCell ref="B2:E2"/>
    <mergeCell ref="B4:E4"/>
    <mergeCell ref="B15:E15"/>
    <mergeCell ref="B10:C10"/>
    <mergeCell ref="B11:C11"/>
    <mergeCell ref="B13:C13"/>
    <mergeCell ref="B12:C12"/>
    <mergeCell ref="B8:C8"/>
    <mergeCell ref="B9:C9"/>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2018-07-11T14:49:39Z</cp:lastPrinted>
  <dcterms:created xsi:type="dcterms:W3CDTF">2013-05-11T20:19:37Z</dcterms:created>
  <dcterms:modified xsi:type="dcterms:W3CDTF">2019-09-08T13:45:18Z</dcterms:modified>
</cp:coreProperties>
</file>