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Transactions'!$A$1:$T$42</definedName>
    <definedName name="Query_from_MS_Access_Database" localSheetId="0" hidden="1">'Federal Funds Transactions'!$A$15:$T$22</definedName>
    <definedName name="Query_from_MS_Access_Database" localSheetId="1" hidden="1">'Regional Loans and Transfers'!$A$11:$S$35</definedName>
    <definedName name="Query_from_MS_Access_Database_1" localSheetId="0" hidden="1">'Federal Funds Transactions'!$A$27:$T$32</definedName>
    <definedName name="Query_from_MS_Access_Database_1" localSheetId="1" hidden="1">'Regional Loans and Transfers'!$A$38:$S$62</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U16" i="1"/>
  <c r="U17" i="1"/>
  <c r="U18" i="1"/>
  <c r="V18" i="1" s="1"/>
  <c r="V19" i="1" s="1"/>
  <c r="V20" i="1" s="1"/>
  <c r="V21" i="1" s="1"/>
  <c r="V22" i="1" s="1"/>
  <c r="U19" i="1"/>
  <c r="U20" i="1"/>
  <c r="U21" i="1"/>
  <c r="U22" i="1"/>
  <c r="I28" i="1"/>
  <c r="I29" i="1"/>
  <c r="I30" i="1"/>
  <c r="I31" i="1"/>
  <c r="I32" i="1"/>
  <c r="U28" i="1"/>
  <c r="V28" i="1" s="1"/>
  <c r="U29" i="1"/>
  <c r="U30" i="1"/>
  <c r="U31" i="1"/>
  <c r="U32" i="1"/>
  <c r="V29" i="1" l="1"/>
  <c r="V30" i="1" s="1"/>
  <c r="V31" i="1" s="1"/>
  <c r="V32" i="1" s="1"/>
  <c r="V17" i="1"/>
  <c r="O5" i="1"/>
  <c r="S5" i="1"/>
  <c r="V8" i="1" l="1"/>
  <c r="V11" i="1" l="1"/>
  <c r="T11" i="1"/>
  <c r="S11" i="1"/>
  <c r="R11" i="1"/>
  <c r="Q11" i="1"/>
  <c r="P11" i="1"/>
  <c r="O11" i="1"/>
  <c r="N11" i="1"/>
  <c r="V10" i="1"/>
  <c r="T10" i="1"/>
  <c r="S10" i="1"/>
  <c r="R10" i="1"/>
  <c r="Q10" i="1"/>
  <c r="P10" i="1"/>
  <c r="O10" i="1"/>
  <c r="N10" i="1"/>
  <c r="V9" i="1"/>
  <c r="T9" i="1"/>
  <c r="S9" i="1"/>
  <c r="R9" i="1"/>
  <c r="Q9" i="1"/>
  <c r="P9" i="1"/>
  <c r="O9" i="1"/>
  <c r="N9" i="1"/>
  <c r="T8" i="1"/>
  <c r="S8" i="1"/>
  <c r="R8" i="1"/>
  <c r="Q8" i="1"/>
  <c r="P8" i="1"/>
  <c r="O8" i="1"/>
  <c r="N8" i="1"/>
  <c r="V7" i="1"/>
  <c r="T7" i="1"/>
  <c r="S7" i="1"/>
  <c r="R7" i="1"/>
  <c r="Q7" i="1"/>
  <c r="P7" i="1"/>
  <c r="O7" i="1"/>
  <c r="N7" i="1"/>
  <c r="V6" i="1"/>
  <c r="T6" i="1"/>
  <c r="S6" i="1"/>
  <c r="R6" i="1"/>
  <c r="Q6" i="1"/>
  <c r="P6" i="1"/>
  <c r="O6" i="1"/>
  <c r="N6" i="1"/>
  <c r="U4" i="1" l="1"/>
  <c r="U5" i="1" l="1"/>
  <c r="U40" i="1" l="1"/>
  <c r="N33" i="1"/>
  <c r="O33" i="1"/>
  <c r="O35" i="1" s="1"/>
  <c r="P33" i="1"/>
  <c r="Q33" i="1"/>
  <c r="R33" i="1"/>
  <c r="S33" i="1"/>
  <c r="S35" i="1" s="1"/>
  <c r="T33" i="1"/>
  <c r="N23" i="1"/>
  <c r="O23" i="1"/>
  <c r="P23" i="1"/>
  <c r="Q23" i="1"/>
  <c r="R23" i="1"/>
  <c r="S23" i="1"/>
  <c r="T23" i="1"/>
  <c r="T35" i="1" l="1"/>
  <c r="P35" i="1"/>
  <c r="R35" i="1"/>
  <c r="N35" i="1"/>
  <c r="Q35" i="1"/>
  <c r="U7" i="1"/>
  <c r="U11" i="1"/>
  <c r="U6" i="1"/>
  <c r="U10" i="1"/>
  <c r="U8" i="1"/>
  <c r="U9" i="1"/>
  <c r="N12" i="1"/>
  <c r="N24" i="1" l="1"/>
  <c r="U33" i="1"/>
  <c r="U23" i="1"/>
  <c r="U35" i="1" l="1"/>
  <c r="S12" i="1"/>
  <c r="S24" i="1" s="1"/>
  <c r="S34" i="1" s="1"/>
  <c r="R12" i="1"/>
  <c r="R24" i="1" s="1"/>
  <c r="R34" i="1" s="1"/>
  <c r="V5" i="1" l="1"/>
  <c r="D11" i="2" l="1"/>
  <c r="D13" i="2" s="1"/>
  <c r="B5" i="3" l="1"/>
  <c r="R39" i="1" l="1"/>
  <c r="R42" i="1" l="1"/>
  <c r="R41" i="1"/>
  <c r="P12" i="1"/>
  <c r="P24" i="1" l="1"/>
  <c r="P34" i="1" s="1"/>
  <c r="A7" i="3"/>
  <c r="Q12" i="1" l="1"/>
  <c r="P39" i="1" l="1"/>
  <c r="P41" i="1" s="1"/>
  <c r="Q24" i="1"/>
  <c r="Q34" i="1" l="1"/>
  <c r="Q39" i="1" s="1"/>
  <c r="P42" i="1"/>
  <c r="A1" i="3"/>
  <c r="Q42" i="1" l="1"/>
  <c r="Q41" i="1"/>
  <c r="O12" i="1"/>
  <c r="O24" i="1" l="1"/>
  <c r="O34" i="1" s="1"/>
  <c r="O39" i="1" s="1"/>
  <c r="T12" i="1"/>
  <c r="U12" i="1" s="1"/>
  <c r="O42" i="1" l="1"/>
  <c r="O41" i="1"/>
  <c r="S39" i="1"/>
  <c r="S42" i="1" s="1"/>
  <c r="T24" i="1"/>
  <c r="T34" i="1" s="1"/>
  <c r="T39" i="1" s="1"/>
  <c r="N34" i="1"/>
  <c r="N39" i="1" s="1"/>
  <c r="V12" i="1"/>
  <c r="U39" i="1" l="1"/>
  <c r="T42" i="1"/>
  <c r="T41" i="1"/>
  <c r="S41" i="1"/>
  <c r="U24" i="1"/>
  <c r="U34" i="1" s="1"/>
  <c r="V16" i="1"/>
  <c r="N42" i="1"/>
  <c r="N41" i="1"/>
  <c r="V39" i="1" l="1"/>
  <c r="U41" i="1"/>
  <c r="V41"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1-LHMPO LEDGER`.`ADOT#`, `11-LHMPO LEDGER`.`TIP#`, `11-LHMPO LEDGER`.Sponsor, `11-LHMPO LEDGER`.`Action/15`, `11-LHMPO LEDGER`.Location, `11-LHMPO LEDGER`.RTE, `11-LHMPO LEDGER`.SEC, `11-LHMPO LEDGER`.SEQ, `11-LHMPO LEDGER`.`PB Expected`, `11-LHMPO LEDGER`.`PB Received`, `11-LHMPO LEDGER`.`PF Transmitted`, `11-LHMPO LEDGER`.`Finance Authorization`, `11-LHMPO LEDGER`.`HURF EX`, `11-LHMPO LEDGER`.HSIP, `11-LHMPO LEDGER`.PL, `11-LHMPO LEDGER`.SPR, `11-LHMPO LEDGER`.`STP &lt;5`, `11-LHMPO LEDGER`.`STP 5-200`, `11-LHMPO LEDGER`.`STP OTHER`_x000d__x000a_FROM `G:\FMS\RESOURCE\ACCESS\010614 PBPF\011614 PBPF front.accdb`.`11-LHMPO LEDGER` `11-LHMPO LEDGER`_x000d__x000a_WHERE (`11-LHMPO LEDGER`.`ADOT#`&lt;&gt;'Trick') AND (`11-LHMPO LEDGER`.`Finance Authorization`&gt;=#10/1/2018# AND `11-LHMPO LEDGER`.`Finance Authorization`&lt;=#9/30/2019#)_x000d__x000a_ORDER BY `11-LH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1-LHCqryLedgerApportsCrosstab`.`Transaction Year`, `11-LHCqryLedgerApportsCrosstab`.`Transaction Type`, `11-LHCqryLedgerApportsCrosstab`.Number, `11-LHCqryLedgerApportsCrosstab`.`From`, `11-LHCqryLedgerApportsCrosstab`.To, `11-LHCqryLedgerApportsCrosstab`.`Repayment Year`, `11-LHCqryLedgerApportsCrosstab`.Project8, `11-LHCqryLedgerApportsCrosstab`.Notes, `11-LHCqryLedgerApportsCrosstab`.Total, `11-LHCqryLedgerApportsCrosstab`.`HURF Exchange`, `11-LHCqryLedgerApportsCrosstab`.HSIP, `11-LHCqryLedgerApportsCrosstab`.PLAN, `11-LHCqryLedgerApportsCrosstab`.SPR, `11-LHCqryLedgerApportsCrosstab`.`STP &lt;5`, `11-LHCqryLedgerApportsCrosstab`.`STP 5-2`, `11-LHCqryLedgerApportsCrosstab`.`STP Flex`, `11-LHCqryLedgerApportsCrosstab`.`TAP &lt;5`, `11-LHCqryLedgerApportsCrosstab`.`TAP 5-2`, `11-LHCqryLedgerApportsCrosstab`.`TAP Flex`_x000d__x000a_FROM `G:\FMS\RESOURCE\ACCESS\010614 PBPF\011614 PBPF front.accdb`.`11-LHCqryLedgerApportsCrosstab` `11-LHCqryLedgerApportsCrosstab`_x000d__x000a_WHERE (`11-LHC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1-LHCqryLedgerOACrosstab`.`Transaction Year`, `11-LHCqryLedgerOACrosstab`.`Transaction Type`, `11-LHCqryLedgerOACrosstab`.Number, `11-LHCqryLedgerOACrosstab`.`From`, `11-LHCqryLedgerOACrosstab`.To, `11-LHCqryLedgerOACrosstab`.`Repayment Year`, `11-LHCqryLedgerOACrosstab`.Project8, `11-LHCqryLedgerOACrosstab`.Notes, `11-LHCqryLedgerOACrosstab`.Total, `11-LHCqryLedgerOACrosstab`.`HURF Exchange`, `11-LHCqryLedgerOACrosstab`.HSIP, `11-LHCqryLedgerOACrosstab`.PLAN, `11-LHCqryLedgerOACrosstab`.SPR, `11-LHCqryLedgerOACrosstab`.`STP &lt;5`, `11-LHCqryLedgerOACrosstab`.`STP 5-2`, `11-LHCqryLedgerOACrosstab`.`STP Flex`, `11-LHCqryLedgerOACrosstab`.`TAP &lt;5`, `11-LHCqryLedgerOACrosstab`.`TAP 5-2`, `11-LHCqryLedgerOACrosstab`.`TAP Flex`_x000d__x000a_FROM `G:\FMS\RESOURCE\ACCESS\010614 PBPF\011614 PBPF front.accdb`.`11-LHCqryLedgerOACrosstab` `11-LHCqryLedgerOACrosstab`_x000d__x000a_WHERE (`11-LHC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1-LHMPO LEDGER`.`ADOT#`, `11-LHMPO LEDGER`.`TIP#`, `11-LHMPO LEDGER`.Sponsor, `11-LHMPO LEDGER`.`Action/15`, `11-LHMPO LEDGER`.Location, `11-LHMPO LEDGER`.RTE, `11-LHMPO LEDGER`.SEC, `11-LHMPO LEDGER`.SEQ, `11-LHMPO LEDGER`.`PB Expected`, `11-LHMPO LEDGER`.`PB Received`, `11-LHMPO LEDGER`.`PF Transmitted`, `11-LHMPO LEDGER`.`Finance Authorization`, `11-LHMPO LEDGER`.`HURF EX`, `11-LHMPO LEDGER`.HSIP, `11-LHMPO LEDGER`.PL, `11-LHMPO LEDGER`.SPR, `11-LHMPO LEDGER`.`STP &lt;5`, `11-LHMPO LEDGER`.`STP 5-200`, `11-LHMPO LEDGER`.`STP OTHER`_x000d__x000a_FROM `G:\FMS\RESOURCE\ACCESS\010614 PBPF\011614 PBPF front.accdb`.`11-LHMPO LEDGER` `11-LHMPO LEDGER`_x000d__x000a_WHERE (`11-LHMPO LEDGER`.`ADOT#` Not Like 'Trick') AND (`11-LHMPO LEDGER`.`Finance Authorization` Is Null) AND ((`11-LHMPO LEDGER`.`PB Expected`&gt;=#10/1/2018# and `PB Expected`&lt;=#9/30/2019#) OR (`11-LHMPO LEDGER`.`PB Received`&gt;=#10/1/2018# and `PB Received`&lt;=#9/30/2019#) OR (`11-LHMPO LEDGER`.`PF Transmitted`&gt;=#10/1/2018# and `PF Transmitted`&lt;=#9/30/2019#))_x000d__x000a_ORDER BY `11-LHMPO LEDGER`.`ADOT#`"/>
  </connection>
</connections>
</file>

<file path=xl/sharedStrings.xml><?xml version="1.0" encoding="utf-8"?>
<sst xmlns="http://schemas.openxmlformats.org/spreadsheetml/2006/main" count="622" uniqueCount="196">
  <si>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</si>
  <si>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</si>
  <si>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</si>
  <si>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</si>
  <si>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</si>
  <si>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</si>
  <si>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</si>
  <si>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</si>
  <si>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</si>
  <si>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</si>
  <si>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</si>
  <si>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</si>
  <si>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</si>
  <si>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</si>
  <si>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</si>
  <si>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</si>
  <si>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</si>
  <si>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</si>
  <si>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</si>
  <si>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</si>
  <si>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</si>
  <si>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</si>
  <si>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</si>
  <si>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</si>
  <si>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</si>
  <si>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</si>
  <si>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</si>
  <si>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</si>
  <si>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</si>
  <si>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</si>
  <si>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</si>
  <si>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</si>
  <si>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</si>
  <si>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</si>
  <si>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</si>
  <si>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</si>
  <si>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</si>
  <si>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</si>
  <si>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</si>
  <si>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</si>
  <si>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</si>
  <si>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</si>
  <si>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</si>
  <si>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</si>
  <si>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</si>
  <si>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</si>
  <si>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</si>
  <si>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</si>
  <si>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</si>
  <si>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</si>
  <si>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</si>
  <si>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</si>
  <si>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</si>
  <si>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</si>
  <si>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</si>
  <si>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</si>
  <si>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</si>
  <si>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</si>
  <si>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</si>
  <si>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</si>
  <si>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</si>
  <si>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</si>
  <si>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</si>
  <si>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</si>
  <si>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</si>
  <si>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</si>
  <si>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</si>
  <si>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</si>
  <si>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</si>
  <si>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</si>
  <si>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</si>
  <si>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</si>
  <si>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</si>
  <si>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</si>
  <si>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</si>
  <si>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</si>
  <si>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</si>
  <si>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</si>
  <si>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</si>
  <si>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</si>
  <si>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</si>
  <si>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</si>
  <si>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</si>
  <si>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</si>
  <si>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</si>
  <si>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</si>
  <si>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</si>
  <si>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</si>
  <si>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</si>
  <si>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</si>
  <si>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</si>
  <si>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</si>
  <si>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</si>
  <si>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</si>
  <si>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</si>
  <si>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</si>
  <si>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</si>
  <si>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</si>
  <si>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</si>
  <si>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</si>
  <si>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</si>
  <si>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</si>
  <si>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</si>
  <si>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</si>
  <si>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</si>
  <si>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</si>
  <si>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</si>
  <si>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</si>
  <si>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</si>
  <si>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</si>
  <si>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</si>
  <si>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</si>
  <si>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</si>
  <si>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</si>
  <si>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</si>
  <si>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WACOG</t>
  </si>
  <si>
    <t>2020</t>
  </si>
  <si>
    <t>LHMPO-LP01</t>
  </si>
  <si>
    <t>LHMPO</t>
  </si>
  <si>
    <t>LHMPO LAPSING FUNDS - FFY14</t>
  </si>
  <si>
    <t>LHMPO1401</t>
  </si>
  <si>
    <t>HSIP TRANSFER FROM LHMPO TO WACOG</t>
  </si>
  <si>
    <t>LHMPO1402</t>
  </si>
  <si>
    <t>LHMPO LOAN TO WACOG FY 14</t>
  </si>
  <si>
    <t>LHMPO-15L1</t>
  </si>
  <si>
    <t>LHMPO HSIP Loan to WACOG</t>
  </si>
  <si>
    <t>LHMPO LOAN TO WACOG FY 15</t>
  </si>
  <si>
    <t>LHMPOADOT-16L1</t>
  </si>
  <si>
    <t>2017/2018</t>
  </si>
  <si>
    <t>LHMPO HSIP Loan to ADOT</t>
  </si>
  <si>
    <t>LHMPO LOAN TO WACOG FY 16</t>
  </si>
  <si>
    <t>LHMPOADOT-17L1</t>
  </si>
  <si>
    <t>SH650/F0029</t>
  </si>
  <si>
    <t>LHMPO LOAN TO WACOG FY 17</t>
  </si>
  <si>
    <t>LHMPO LOAN TO WACOG FY 18</t>
  </si>
  <si>
    <t>LHMPO LOAN TO WACOG FY 19</t>
  </si>
  <si>
    <t>LHMPO LOAN TO WACOG FY 20</t>
  </si>
  <si>
    <t>PLH1901P</t>
  </si>
  <si>
    <t>LHMPO 2019 WP - SPR</t>
  </si>
  <si>
    <t>LHM</t>
  </si>
  <si>
    <t>PLH1902P</t>
  </si>
  <si>
    <t>LHMPO 2019 WP - PL</t>
  </si>
  <si>
    <t>Lake Havasu Metropolitan Planning Organization</t>
  </si>
  <si>
    <t>0</t>
  </si>
  <si>
    <t>PLAN</t>
  </si>
  <si>
    <t>STP Flex</t>
  </si>
  <si>
    <t>TAP &lt;5</t>
  </si>
  <si>
    <t>TAP 5-2</t>
  </si>
  <si>
    <t>TAP Flex</t>
  </si>
  <si>
    <t>STP 5-200</t>
  </si>
  <si>
    <t>HURF Exchange</t>
  </si>
  <si>
    <t>HURF Ex</t>
  </si>
  <si>
    <t>HURF EX</t>
  </si>
  <si>
    <t>SZ11401C</t>
  </si>
  <si>
    <t>LHMPO STBGP Loan to ADOT</t>
  </si>
  <si>
    <t>LHMPOADOT-18L2</t>
  </si>
  <si>
    <t>LHMPO SEC</t>
  </si>
  <si>
    <t>LHMPOADOT-18L3</t>
  </si>
  <si>
    <t>SR95 SIGNAL CONSTRUCTION</t>
  </si>
  <si>
    <t>SR95 SIGNAL DESIGN</t>
  </si>
  <si>
    <t>2021</t>
  </si>
  <si>
    <t>LHMPOADOT-18L4</t>
  </si>
  <si>
    <t>Federal Fiscal Year 2019</t>
  </si>
  <si>
    <t>Planned Lapsing - 06/30/19</t>
  </si>
  <si>
    <t>Lapsed - 07/01/19</t>
  </si>
  <si>
    <t>Planned Lapsing - 09/30/19</t>
  </si>
  <si>
    <t>Carry Forward to FFY 20</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</si>
  <si>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</si>
  <si>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State FY 19 Approved work program amount</t>
  </si>
  <si>
    <t>Total SPR apportionments for Federal Fiscal Year 19 (as shown on ledger)</t>
  </si>
  <si>
    <t>State FY 19 amount authorized prior to 09/30/18 or Lapsed funding</t>
  </si>
  <si>
    <t>State FY 20 amount avaiilable for authorization 07/1/19 - 09/30/19 (request must be submitted by 09/01/19)</t>
  </si>
  <si>
    <t xml:space="preserve">State FY 19 amount available for authorization 10/01/18 - 06/30/19 </t>
  </si>
  <si>
    <t>The  OA to apportionments for FFY 19 is 94.9%.  The rate for calculations is 0.949.</t>
  </si>
  <si>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</si>
  <si>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LHMPOSEC</t>
  </si>
  <si>
    <t>TBD</t>
  </si>
  <si>
    <t>LAKE HAVASU MPO SAFETY EDUCATION CAMPAIGN</t>
  </si>
  <si>
    <t>PLH2001P</t>
  </si>
  <si>
    <t>LHMPO 2020 WP - SPR</t>
  </si>
  <si>
    <t>020</t>
  </si>
  <si>
    <t>PLH2002P</t>
  </si>
  <si>
    <t>LHMPO 2020 WP - PL</t>
  </si>
  <si>
    <t>PS50122P</t>
  </si>
  <si>
    <t>LHMPO 2016 WP</t>
  </si>
  <si>
    <t>000</t>
  </si>
  <si>
    <t>Q</t>
  </si>
  <si>
    <t>188</t>
  </si>
  <si>
    <t>PLH1903P</t>
  </si>
  <si>
    <t>LHMPO 2019 STBG</t>
  </si>
  <si>
    <t>T</t>
  </si>
  <si>
    <t>PLH1802P</t>
  </si>
  <si>
    <t>LHMPO 2018 WP - PL</t>
  </si>
  <si>
    <t>018</t>
  </si>
  <si>
    <t>PLH1801P</t>
  </si>
  <si>
    <t>LHMPO 2018 WP - SPR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</si>
</sst>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08">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2" xfId="3" applyFont="1" applyBorder="1"/>
    <xf numFmtId="43" fontId="10" fillId="0" borderId="11" xfId="3" applyFont="1" applyBorder="1"/>
    <xf numFmtId="43" fontId="10" fillId="0" borderId="6" xfId="3" applyFont="1" applyBorder="1"/>
    <xf numFmtId="43" fontId="10" fillId="0" borderId="7"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3" fontId="0" fillId="0" borderId="9" xfId="3" applyFont="1" applyBorder="1"/>
    <xf numFmtId="40" fontId="16" fillId="0" borderId="8" xfId="1" applyNumberFormat="1" applyFont="1" applyFill="1" applyBorder="1" applyAlignment="1">
      <alignment horizontal="center" vertical="center"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43" fontId="27" fillId="0" borderId="2"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7" xfId="3" applyFont="1" applyBorder="1"/>
    <xf numFmtId="43" fontId="28" fillId="0" borderId="6" xfId="3" applyFont="1" applyBorder="1"/>
    <xf numFmtId="43" fontId="28" fillId="0" borderId="18" xfId="3" applyFont="1" applyBorder="1"/>
    <xf numFmtId="43" fontId="28" fillId="0" borderId="7" xfId="3" applyFont="1" applyBorder="1"/>
    <xf numFmtId="43" fontId="28" fillId="0" borderId="16" xfId="3" applyFont="1" applyBorder="1"/>
    <xf numFmtId="43" fontId="29" fillId="0" borderId="0" xfId="3" applyFont="1"/>
    <xf numFmtId="43" fontId="29" fillId="0" borderId="11" xfId="3" applyFont="1" applyBorder="1"/>
    <xf numFmtId="43" fontId="29" fillId="0" borderId="6" xfId="3" applyFont="1" applyBorder="1"/>
    <xf numFmtId="43" fontId="29" fillId="0" borderId="7" xfId="3" applyFont="1" applyBorder="1"/>
    <xf numFmtId="43" fontId="29" fillId="0" borderId="17" xfId="3" applyFont="1" applyBorder="1"/>
    <xf numFmtId="43" fontId="29" fillId="0" borderId="18" xfId="3" applyFont="1" applyBorder="1"/>
    <xf numFmtId="43" fontId="29" fillId="0" borderId="16" xfId="3" applyFont="1" applyBorder="1"/>
    <xf numFmtId="43" fontId="0" fillId="0" borderId="11" xfId="3" applyFont="1" applyBorder="1"/>
    <xf numFmtId="43" fontId="0" fillId="0" borderId="17" xfId="3" applyFont="1" applyBorder="1"/>
    <xf numFmtId="43" fontId="0" fillId="0" borderId="6" xfId="3" applyFont="1" applyBorder="1"/>
    <xf numFmtId="43" fontId="0" fillId="0" borderId="18" xfId="3" applyFont="1" applyBorder="1"/>
    <xf numFmtId="43" fontId="0" fillId="0" borderId="7" xfId="3" applyFont="1" applyBorder="1"/>
    <xf numFmtId="43" fontId="0" fillId="0" borderId="16" xfId="3" applyFont="1" applyBorder="1"/>
    <xf numFmtId="43" fontId="30" fillId="0" borderId="18"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9"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3" fontId="31" fillId="0" borderId="0" xfId="3" applyFont="1"/>
    <xf numFmtId="40" fontId="17" fillId="0" borderId="0" xfId="0" applyNumberFormat="1" applyFont="1" applyAlignment="1">
      <alignment vertical="top"/>
    </xf>
    <xf numFmtId="40" fontId="32" fillId="0" borderId="0" xfId="0" applyNumberFormat="1" applyFont="1" applyAlignment="1">
      <alignment horizontal="center"/>
    </xf>
    <xf numFmtId="164" fontId="32" fillId="0" borderId="0" xfId="0" applyNumberFormat="1" applyFont="1" applyAlignment="1">
      <alignment horizontal="center"/>
    </xf>
    <xf numFmtId="40" fontId="24" fillId="0" borderId="0" xfId="0" applyNumberFormat="1" applyFont="1" applyAlignment="1">
      <alignment vertical="top"/>
    </xf>
    <xf numFmtId="40" fontId="24" fillId="0" borderId="0" xfId="0" applyNumberFormat="1" applyFont="1" applyBorder="1" applyAlignment="1">
      <alignment vertical="top"/>
    </xf>
    <xf numFmtId="40" fontId="32" fillId="0" borderId="0" xfId="0" applyNumberFormat="1" applyFont="1" applyAlignment="1"/>
    <xf numFmtId="40" fontId="17" fillId="0" borderId="5" xfId="0" applyNumberFormat="1" applyFont="1" applyBorder="1" applyAlignment="1">
      <alignment vertical="top"/>
    </xf>
    <xf numFmtId="40" fontId="24" fillId="0" borderId="0" xfId="0" applyNumberFormat="1" applyFont="1" applyBorder="1" applyAlignment="1">
      <alignment vertical="top" wrapText="1"/>
    </xf>
    <xf numFmtId="0" fontId="32" fillId="0" borderId="0" xfId="0" applyFont="1" applyAlignment="1"/>
    <xf numFmtId="164" fontId="24" fillId="0" borderId="0" xfId="0" applyNumberFormat="1" applyFont="1" applyBorder="1" applyAlignment="1">
      <alignment horizontal="center" vertical="top"/>
    </xf>
    <xf numFmtId="40" fontId="23" fillId="0" borderId="23"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0" fontId="17" fillId="0" borderId="0" xfId="0" applyFont="1" applyBorder="1" applyAlignment="1">
      <alignment vertical="top"/>
    </xf>
    <xf numFmtId="43" fontId="33" fillId="0" borderId="0" xfId="3" applyFont="1"/>
    <xf numFmtId="164" fontId="24" fillId="0" borderId="0" xfId="0" applyNumberFormat="1" applyFont="1" applyAlignment="1">
      <alignment vertical="top"/>
    </xf>
    <xf numFmtId="164" fontId="32" fillId="0" borderId="0" xfId="0" applyNumberFormat="1" applyFont="1" applyAlignment="1"/>
    <xf numFmtId="0" fontId="17" fillId="0" borderId="0" xfId="0" applyFont="1" applyBorder="1" applyAlignment="1">
      <alignment vertical="center"/>
    </xf>
    <xf numFmtId="40" fontId="17" fillId="0" borderId="0" xfId="0" applyNumberFormat="1"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26" fillId="5"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4" fillId="0" borderId="0" xfId="0" applyFont="1" applyBorder="1" applyAlignment="1">
      <alignment horizontal="left" vertical="top" wrapText="1"/>
    </xf>
    <xf numFmtId="0" fontId="0" fillId="0" borderId="0" xfId="0" applyAlignment="1">
      <alignment horizontal="left" vertical="top"/>
    </xf>
    <xf numFmtId="0" fontId="36"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40" fontId="39" fillId="0" borderId="0" xfId="0" applyNumberFormat="1" applyFont="1" applyAlignment="1">
      <alignment vertical="top" wrapText="1"/>
    </xf>
    <xf numFmtId="40" fontId="40" fillId="0" borderId="0" xfId="0" applyNumberFormat="1" applyFont="1" applyAlignment="1">
      <alignment horizontal="left" vertical="top" wrapText="1"/>
    </xf>
    <xf numFmtId="40" fontId="39" fillId="0" borderId="0" xfId="0" applyNumberFormat="1" applyFont="1" applyAlignment="1">
      <alignment horizontal="center" vertical="top" wrapText="1"/>
    </xf>
    <xf numFmtId="40" fontId="40" fillId="0" borderId="0" xfId="0" applyNumberFormat="1" applyFont="1" applyAlignment="1">
      <alignment horizontal="center" vertical="top" wrapText="1"/>
    </xf>
    <xf numFmtId="164" fontId="40" fillId="0" borderId="0" xfId="0" applyNumberFormat="1" applyFont="1" applyAlignment="1">
      <alignment horizontal="center" vertical="top" wrapText="1"/>
    </xf>
    <xf numFmtId="164" fontId="40" fillId="0" borderId="0" xfId="0" applyNumberFormat="1" applyFont="1" applyAlignment="1">
      <alignment vertical="top"/>
    </xf>
    <xf numFmtId="40" fontId="40" fillId="0" borderId="0" xfId="0" applyNumberFormat="1" applyFont="1" applyAlignment="1">
      <alignment vertical="top"/>
    </xf>
    <xf numFmtId="40" fontId="39" fillId="0" borderId="0" xfId="0" applyNumberFormat="1" applyFont="1" applyAlignment="1">
      <alignment vertical="top"/>
    </xf>
    <xf numFmtId="0" fontId="39" fillId="0" borderId="0" xfId="0" applyFont="1" applyAlignment="1"/>
    <xf numFmtId="40" fontId="39" fillId="0" borderId="0" xfId="0" applyNumberFormat="1" applyFont="1" applyAlignment="1"/>
    <xf numFmtId="40" fontId="39" fillId="0" borderId="0" xfId="0" applyNumberFormat="1" applyFont="1" applyAlignment="1">
      <alignment horizontal="center"/>
    </xf>
    <xf numFmtId="40" fontId="0" fillId="0" borderId="0" xfId="0" applyNumberFormat="1" applyAlignment="1">
      <alignment horizontal="center"/>
    </xf>
    <xf numFmtId="164" fontId="39" fillId="0" borderId="0" xfId="0" applyNumberFormat="1" applyFont="1" applyAlignment="1">
      <alignment horizontal="center"/>
    </xf>
    <xf numFmtId="164" fontId="39" fillId="0" borderId="0" xfId="0" applyNumberFormat="1" applyFont="1" applyAlignment="1"/>
  </cellXfs>
  <cellStyles count="4">
    <cellStyle name="Comma" xfId="3" builtinId="3"/>
    <cellStyle name="Currency" xfId="1" builtinId="4"/>
    <cellStyle name="Normal" xfId="0" builtinId="0"/>
    <cellStyle name="Normal_Notes" xfId="2"/>
  </cellStyles>
  <dxfs count="116">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5"/>
      <tableStyleElement type="firstRowStripe" dxfId="114"/>
    </tableStyle>
    <tableStyle name="Table Style 2" pivot="0" count="1">
      <tableStyleElement type="firstRowStripe" dxfId="113"/>
    </tableStyle>
    <tableStyle name="Table Style 3" pivot="0" count="1">
      <tableStyleElement type="firstRowStripe" dxfId="112"/>
    </tableStyle>
    <tableStyle name="Table Style 4" pivot="0" count="3">
      <tableStyleElement type="wholeTable" dxfId="111"/>
      <tableStyleElement type="headerRow" dxfId="110"/>
      <tableStyleElement type="firstRowStripe" dxfId="109"/>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growShrinkType="insertClear"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19">
      <queryTableField id="1" name="Transaction Year" tableColumnId="20"/>
      <queryTableField id="2" name="Transaction Type" tableColumnId="21"/>
      <queryTableField id="3" name="Number" tableColumnId="22"/>
      <queryTableField id="4" name="From" tableColumnId="23"/>
      <queryTableField id="5" name="To" tableColumnId="24"/>
      <queryTableField id="6" name="Repayment Year" tableColumnId="25"/>
      <queryTableField id="7" name="Project8" tableColumnId="26"/>
      <queryTableField id="8" name="Notes" tableColumnId="27"/>
      <queryTableField id="9" name="Total" tableColumnId="28"/>
      <queryTableField id="10" name="HURF Exchange" tableColumnId="29"/>
      <queryTableField id="11" name="HSIP" tableColumnId="30"/>
      <queryTableField id="12" name="PLAN" tableColumnId="31"/>
      <queryTableField id="13" name="SPR" tableColumnId="32"/>
      <queryTableField id="14" name="STP &lt;5" tableColumnId="33"/>
      <queryTableField id="15" name="STP 5-2" tableColumnId="34"/>
      <queryTableField id="16" name="STP Flex" tableColumnId="35"/>
      <queryTableField id="17" name="TAP &lt;5" tableColumnId="36"/>
      <queryTableField id="18" name="TAP 5-2" tableColumnId="37"/>
      <queryTableField id="19" name="TAP Flex" tableColumnId="3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0"/>
      <queryTableField id="2" name="Transaction Type" tableColumnId="21"/>
      <queryTableField id="3" name="Number" tableColumnId="22"/>
      <queryTableField id="4" name="From" tableColumnId="23"/>
      <queryTableField id="5" name="To" tableColumnId="24"/>
      <queryTableField id="6" name="Repayment Year" tableColumnId="25"/>
      <queryTableField id="7" name="Project8" tableColumnId="26"/>
      <queryTableField id="8" name="Notes" tableColumnId="27"/>
      <queryTableField id="9" name="Total" tableColumnId="28"/>
      <queryTableField id="10" name="HURF Exchange" tableColumnId="29"/>
      <queryTableField id="11" name="HSIP" tableColumnId="30"/>
      <queryTableField id="12" name="PLAN" tableColumnId="31"/>
      <queryTableField id="13" name="SPR" tableColumnId="32"/>
      <queryTableField id="14" name="STP &lt;5" tableColumnId="33"/>
      <queryTableField id="15" name="STP 5-2" tableColumnId="34"/>
      <queryTableField id="16" name="STP Flex" tableColumnId="35"/>
      <queryTableField id="17" name="TAP &lt;5" tableColumnId="36"/>
      <queryTableField id="18" name="TAP 5-2" tableColumnId="37"/>
      <queryTableField id="19" name="TAP Flex" tableColumnId="38"/>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8" dataDxfId="106" headerRowBorderDxfId="107" tableBorderDxfId="105" totalsRowBorderDxfId="104" headerRowCellStyle="Currency">
  <autoFilter ref="M3:V12"/>
  <tableColumns count="10">
    <tableColumn id="1" name="Description" dataDxfId="103"/>
    <tableColumn id="10" name="HURF Ex" dataDxfId="102"/>
    <tableColumn id="4" name="HSIP/3" dataDxfId="101"/>
    <tableColumn id="2" name="PL" dataDxfId="100"/>
    <tableColumn id="5" name="SPR /4" dataDxfId="99"/>
    <tableColumn id="3" name="STP &lt;5" dataDxfId="98"/>
    <tableColumn id="9" name="STP 5-2" dataDxfId="97"/>
    <tableColumn id="6" name="STP other" dataDxfId="96"/>
    <tableColumn id="7" name="Total" dataDxfId="95"/>
    <tableColumn id="8" name="FFY OBLIGATION AUTHORITY /2" dataDxfId="94"/>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2" tableType="queryTable" totalsRowShown="0" headerRowDxfId="93" dataDxfId="92" tableBorderDxfId="91">
  <autoFilter ref="A15:V22"/>
  <tableColumns count="22">
    <tableColumn id="1" uniqueName="1" name="ADOT#" queryTableFieldId="1" dataDxfId="60"/>
    <tableColumn id="2" uniqueName="2" name="TIP#" queryTableFieldId="2" dataDxfId="59"/>
    <tableColumn id="3" uniqueName="3" name="Sponsor" queryTableFieldId="3" dataDxfId="58"/>
    <tableColumn id="4" uniqueName="4" name="Action/15" queryTableFieldId="4" dataDxfId="57"/>
    <tableColumn id="5" uniqueName="5" name="Location" queryTableFieldId="5" dataDxfId="56"/>
    <tableColumn id="6" uniqueName="6" name="RTE" queryTableFieldId="6" dataDxfId="55"/>
    <tableColumn id="7" uniqueName="7" name="SEC" queryTableFieldId="7" dataDxfId="54"/>
    <tableColumn id="8" uniqueName="8" name="SEQ" queryTableFieldId="8" dataDxfId="53"/>
    <tableColumn id="22" uniqueName="22" name="Fed #" queryTableFieldId="22" dataDxfId="52">
      <calculatedColumnFormula>CONCATENATE(Table_Query_from_MS_Access_Database8[RTE],Table_Query_from_MS_Access_Database8[SEC],Table_Query_from_MS_Access_Database8[SEQ])</calculatedColumnFormula>
    </tableColumn>
    <tableColumn id="9" uniqueName="9" name="PB Expected" queryTableFieldId="9" dataDxfId="51"/>
    <tableColumn id="10" uniqueName="10" name="PB Received" queryTableFieldId="10" dataDxfId="50"/>
    <tableColumn id="11" uniqueName="11" name="PF Transmitted" queryTableFieldId="11" dataDxfId="49"/>
    <tableColumn id="12" uniqueName="12" name="Finance Authorization" queryTableFieldId="12" dataDxfId="48"/>
    <tableColumn id="13" uniqueName="13" name="HURF EX" queryTableFieldId="13" dataDxfId="47"/>
    <tableColumn id="14" uniqueName="14" name="HSIP" queryTableFieldId="14" dataDxfId="46"/>
    <tableColumn id="15" uniqueName="15" name="PL" queryTableFieldId="15" dataDxfId="45"/>
    <tableColumn id="16" uniqueName="16" name="SPR" queryTableFieldId="16" dataDxfId="44"/>
    <tableColumn id="17" uniqueName="17" name="STP &lt;5" queryTableFieldId="17" dataDxfId="43"/>
    <tableColumn id="18" uniqueName="18" name="STP 5-200" queryTableFieldId="18" dataDxfId="42"/>
    <tableColumn id="19" uniqueName="19" name="STP OTHER" queryTableFieldId="19" dataDxfId="41"/>
    <tableColumn id="20" uniqueName="20" name="TOTAL OF AMOUNT" queryTableFieldId="21" dataDxfId="40">
      <calculatedColumnFormula>SUM(Table_Query_from_MS_Access_Database8[[#This Row],[HSIP]:[STP OTHER]])</calculatedColumnFormula>
    </tableColumn>
    <tableColumn id="21" uniqueName="21" name="DECLINING BALANCE OA" queryTableFieldId="20" dataDxfId="39"/>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7:V32" tableType="queryTable" totalsRowShown="0" headerRowDxfId="90" dataDxfId="89">
  <autoFilter ref="A27:V32"/>
  <tableColumns count="22">
    <tableColumn id="1" uniqueName="1" name="ADOT#" queryTableFieldId="1" dataDxfId="88"/>
    <tableColumn id="2" uniqueName="2" name="TIP#" queryTableFieldId="2" dataDxfId="87"/>
    <tableColumn id="3" uniqueName="3" name="Sponsor" queryTableFieldId="3" dataDxfId="86"/>
    <tableColumn id="4" uniqueName="4" name="Action/15" queryTableFieldId="4" dataDxfId="85"/>
    <tableColumn id="5" uniqueName="5" name="Location" queryTableFieldId="5" dataDxfId="76"/>
    <tableColumn id="6" uniqueName="6" name="RTE" queryTableFieldId="6" dataDxfId="84"/>
    <tableColumn id="7" uniqueName="7" name="SEC" queryTableFieldId="7" dataDxfId="75"/>
    <tableColumn id="8" uniqueName="8" name="SEQ" queryTableFieldId="8" dataDxfId="74"/>
    <tableColumn id="22" uniqueName="22" name="Fed #" queryTableFieldId="22" dataDxfId="73">
      <calculatedColumnFormula>CONCATENATE(Table_Query_from_MS_Access_Database_1[RTE],Table_Query_from_MS_Access_Database_1[SEC],Table_Query_from_MS_Access_Database_1[SEQ])</calculatedColumnFormula>
    </tableColumn>
    <tableColumn id="9" uniqueName="9" name="PB Expected" queryTableFieldId="9" dataDxfId="72"/>
    <tableColumn id="10" uniqueName="10" name="PB Received" queryTableFieldId="10" dataDxfId="71"/>
    <tableColumn id="11" uniqueName="11" name="PF Transmitted" queryTableFieldId="11" dataDxfId="70"/>
    <tableColumn id="12" uniqueName="12" name="Finance Authorization" queryTableFieldId="12" dataDxfId="69"/>
    <tableColumn id="13" uniqueName="13" name="HURF EX" queryTableFieldId="13" dataDxfId="68"/>
    <tableColumn id="14" uniqueName="14" name="HSIP" queryTableFieldId="14" dataDxfId="67"/>
    <tableColumn id="15" uniqueName="15" name="PL" queryTableFieldId="15" dataDxfId="66"/>
    <tableColumn id="16" uniqueName="16" name="SPR" queryTableFieldId="16" dataDxfId="65"/>
    <tableColumn id="17" uniqueName="17" name="STP &lt;5" queryTableFieldId="17" dataDxfId="64"/>
    <tableColumn id="18" uniqueName="18" name="STP 5-200" queryTableFieldId="18" dataDxfId="63"/>
    <tableColumn id="19" uniqueName="19" name="STP OTHER" queryTableFieldId="19" dataDxfId="62"/>
    <tableColumn id="20" uniqueName="20" name="TOTAL OF AMOUNT" queryTableFieldId="21" dataDxfId="61">
      <calculatedColumnFormula>SUM(Table_Query_from_MS_Access_Database_1[[#This Row],[HURF EX]:[STP OTHER]])</calculatedColumnFormula>
    </tableColumn>
    <tableColumn id="21" uniqueName="21" name="EXPECTED DECLINING BALANCE OA" queryTableFieldId="20" dataDxfId="0">
      <calculatedColumnFormula>V22-Table_Query_from_MS_Access_Database_1[TOTAL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S35" tableType="queryTable" totalsRowShown="0" headerRowDxfId="83" headerRowBorderDxfId="82" tableBorderDxfId="81" totalsRowBorderDxfId="80" headerRowCellStyle="Comma" dataCellStyle="Comma">
  <autoFilter ref="A11:S35"/>
  <tableColumns count="19">
    <tableColumn id="20" uniqueName="20" name="Transaction Year" queryTableFieldId="1" dataDxfId="19" dataCellStyle="Comma"/>
    <tableColumn id="21" uniqueName="21" name="Transaction Type" queryTableFieldId="2" dataDxfId="18" dataCellStyle="Comma"/>
    <tableColumn id="22" uniqueName="22" name="Number" queryTableFieldId="3" dataDxfId="17" dataCellStyle="Comma"/>
    <tableColumn id="23" uniqueName="23" name="From" queryTableFieldId="4" dataDxfId="16" dataCellStyle="Comma"/>
    <tableColumn id="24" uniqueName="24" name="To" queryTableFieldId="5" dataDxfId="15" dataCellStyle="Comma"/>
    <tableColumn id="25" uniqueName="25" name="Repayment Year" queryTableFieldId="6" dataDxfId="14" dataCellStyle="Comma"/>
    <tableColumn id="26" uniqueName="26" name="Project8" queryTableFieldId="7" dataDxfId="13" dataCellStyle="Comma"/>
    <tableColumn id="27" uniqueName="27" name="Notes" queryTableFieldId="8" dataDxfId="12" dataCellStyle="Comma"/>
    <tableColumn id="28" uniqueName="28" name="Total" queryTableFieldId="9" dataDxfId="11" dataCellStyle="Comma"/>
    <tableColumn id="29" uniqueName="29" name="HURF Exchange" queryTableFieldId="10" dataDxfId="10" dataCellStyle="Comma"/>
    <tableColumn id="30" uniqueName="30" name="HSIP" queryTableFieldId="11" dataDxfId="9" dataCellStyle="Comma"/>
    <tableColumn id="31" uniqueName="31" name="PLAN" queryTableFieldId="12" dataDxfId="8" dataCellStyle="Comma"/>
    <tableColumn id="32" uniqueName="32" name="SPR" queryTableFieldId="13" dataDxfId="7" dataCellStyle="Comma"/>
    <tableColumn id="33" uniqueName="33" name="STP &lt;5" queryTableFieldId="14" dataDxfId="6" dataCellStyle="Comma"/>
    <tableColumn id="34" uniqueName="34" name="STP 5-2" queryTableFieldId="15" dataDxfId="5" dataCellStyle="Comma"/>
    <tableColumn id="35" uniqueName="35" name="STP Flex" queryTableFieldId="16" dataDxfId="4" dataCellStyle="Comma"/>
    <tableColumn id="36" uniqueName="36" name="TAP &lt;5" queryTableFieldId="17" dataDxfId="3" dataCellStyle="Comma"/>
    <tableColumn id="37" uniqueName="37" name="TAP 5-2" queryTableFieldId="18" dataDxfId="2" dataCellStyle="Comma"/>
    <tableColumn id="38" uniqueName="38" name="TAP Flex" queryTableFieldId="19"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8:S62" tableType="queryTable" totalsRowShown="0" headerRowDxfId="79" dataDxfId="78" tableBorderDxfId="77" headerRowCellStyle="Comma" dataCellStyle="Comma">
  <autoFilter ref="A38:S62"/>
  <tableColumns count="19">
    <tableColumn id="20" uniqueName="20" name="Transaction Year" queryTableFieldId="1" dataDxfId="38" dataCellStyle="Comma"/>
    <tableColumn id="21" uniqueName="21" name="Transaction Type" queryTableFieldId="2" dataDxfId="37" dataCellStyle="Comma"/>
    <tableColumn id="22" uniqueName="22" name="Number" queryTableFieldId="3" dataDxfId="36" dataCellStyle="Comma"/>
    <tableColumn id="23" uniqueName="23" name="From" queryTableFieldId="4" dataDxfId="35" dataCellStyle="Comma"/>
    <tableColumn id="24" uniqueName="24" name="To" queryTableFieldId="5" dataDxfId="34" dataCellStyle="Comma"/>
    <tableColumn id="25" uniqueName="25" name="Repayment Year" queryTableFieldId="6" dataDxfId="33" dataCellStyle="Comma"/>
    <tableColumn id="26" uniqueName="26" name="Project8" queryTableFieldId="7" dataDxfId="32" dataCellStyle="Comma"/>
    <tableColumn id="27" uniqueName="27" name="Notes" queryTableFieldId="8" dataDxfId="31" dataCellStyle="Comma"/>
    <tableColumn id="28" uniqueName="28" name="Total" queryTableFieldId="9" dataDxfId="30" dataCellStyle="Comma"/>
    <tableColumn id="29" uniqueName="29" name="HURF Exchange" queryTableFieldId="10" dataDxfId="29" dataCellStyle="Comma"/>
    <tableColumn id="30" uniqueName="30" name="HSIP" queryTableFieldId="11" dataDxfId="28" dataCellStyle="Comma"/>
    <tableColumn id="31" uniqueName="31" name="PLAN" queryTableFieldId="12" dataDxfId="27" dataCellStyle="Comma"/>
    <tableColumn id="32" uniqueName="32" name="SPR" queryTableFieldId="13" dataDxfId="26" dataCellStyle="Comma"/>
    <tableColumn id="33" uniqueName="33" name="STP &lt;5" queryTableFieldId="14" dataDxfId="25" dataCellStyle="Comma"/>
    <tableColumn id="34" uniqueName="34" name="STP 5-2" queryTableFieldId="15" dataDxfId="24" dataCellStyle="Comma"/>
    <tableColumn id="35" uniqueName="35" name="STP Flex" queryTableFieldId="16" dataDxfId="23" dataCellStyle="Comma"/>
    <tableColumn id="36" uniqueName="36" name="TAP &lt;5" queryTableFieldId="17" dataDxfId="22" dataCellStyle="Comma"/>
    <tableColumn id="37" uniqueName="37" name="TAP 5-2" queryTableFieldId="18" dataDxfId="21" dataCellStyle="Comma"/>
    <tableColumn id="38" uniqueName="38" name="TAP Flex" queryTableFieldId="19" dataDxfId="2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
  <sheetViews>
    <sheetView tabSelected="1" topLeftCell="C1" zoomScale="90" zoomScaleNormal="90" zoomScaleSheetLayoutView="115" workbookViewId="0">
      <selection activeCell="V31" sqref="V3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10.710937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5">
      <c r="A1" s="168" t="s">
        <v>142</v>
      </c>
      <c r="B1" s="168"/>
      <c r="C1" s="168"/>
      <c r="D1" s="168"/>
      <c r="E1" s="168"/>
      <c r="F1" s="168"/>
      <c r="J1" s="34"/>
      <c r="K1" s="35"/>
      <c r="L1" s="34"/>
      <c r="M1" s="49"/>
      <c r="N1" s="178" t="s">
        <v>78</v>
      </c>
      <c r="O1" s="178"/>
      <c r="P1" s="178"/>
      <c r="Q1" s="178"/>
      <c r="R1" s="178"/>
      <c r="S1" s="178"/>
      <c r="T1" s="178"/>
      <c r="U1" s="178"/>
    </row>
    <row r="2" spans="1:22" ht="17.25" customHeight="1" thickBot="1" x14ac:dyDescent="0.35">
      <c r="J2" s="34"/>
      <c r="K2" s="34"/>
      <c r="L2" s="34"/>
      <c r="M2" s="49"/>
      <c r="N2" s="175" t="s">
        <v>12</v>
      </c>
      <c r="O2" s="176"/>
      <c r="P2" s="176"/>
      <c r="Q2" s="176"/>
      <c r="R2" s="176"/>
      <c r="S2" s="176"/>
      <c r="T2" s="176"/>
      <c r="U2" s="177"/>
    </row>
    <row r="3" spans="1:22" ht="27.6" customHeight="1" x14ac:dyDescent="0.3">
      <c r="A3" s="171" t="s">
        <v>81</v>
      </c>
      <c r="B3" s="171"/>
      <c r="C3" s="171"/>
      <c r="D3" s="171"/>
      <c r="E3" s="37"/>
      <c r="F3" s="37"/>
      <c r="G3" s="37"/>
      <c r="J3" s="34"/>
      <c r="K3" s="87"/>
      <c r="L3" s="34"/>
      <c r="M3" s="68" t="s">
        <v>11</v>
      </c>
      <c r="N3" s="154" t="s">
        <v>151</v>
      </c>
      <c r="O3" s="76" t="s">
        <v>61</v>
      </c>
      <c r="P3" s="76" t="s">
        <v>42</v>
      </c>
      <c r="Q3" s="69" t="s">
        <v>56</v>
      </c>
      <c r="R3" s="69" t="s">
        <v>106</v>
      </c>
      <c r="S3" s="69" t="s">
        <v>112</v>
      </c>
      <c r="T3" s="69" t="s">
        <v>6</v>
      </c>
      <c r="U3" s="70" t="s">
        <v>10</v>
      </c>
      <c r="V3" s="129" t="s">
        <v>15</v>
      </c>
    </row>
    <row r="4" spans="1:22" ht="27" x14ac:dyDescent="0.25">
      <c r="A4" s="170" t="s">
        <v>162</v>
      </c>
      <c r="B4" s="170"/>
      <c r="C4" s="170"/>
      <c r="D4" s="170"/>
      <c r="E4" s="38"/>
      <c r="F4" s="38"/>
      <c r="G4" s="38"/>
      <c r="J4" s="34"/>
      <c r="K4" s="34"/>
      <c r="L4" s="34"/>
      <c r="M4" s="82" t="s">
        <v>114</v>
      </c>
      <c r="N4" s="132">
        <v>0</v>
      </c>
      <c r="O4" s="133">
        <v>0</v>
      </c>
      <c r="P4" s="133">
        <v>0</v>
      </c>
      <c r="Q4" s="96">
        <v>0</v>
      </c>
      <c r="R4" s="96">
        <v>0</v>
      </c>
      <c r="S4" s="96">
        <v>0</v>
      </c>
      <c r="T4" s="97">
        <v>0</v>
      </c>
      <c r="U4" s="136">
        <f t="shared" ref="U4:U12" si="0">SUM(N4:T4)</f>
        <v>0</v>
      </c>
      <c r="V4" s="133">
        <v>0</v>
      </c>
    </row>
    <row r="5" spans="1:22" ht="27" x14ac:dyDescent="0.25">
      <c r="A5" s="93" t="s">
        <v>93</v>
      </c>
      <c r="C5" s="67">
        <v>43496</v>
      </c>
      <c r="J5" s="34"/>
      <c r="K5" s="34"/>
      <c r="L5" s="34"/>
      <c r="M5" s="83" t="s">
        <v>101</v>
      </c>
      <c r="N5" s="134">
        <v>0</v>
      </c>
      <c r="O5" s="135">
        <f>50000</f>
        <v>50000</v>
      </c>
      <c r="P5" s="135">
        <v>123696</v>
      </c>
      <c r="Q5" s="97">
        <v>125000</v>
      </c>
      <c r="R5" s="97">
        <v>13217</v>
      </c>
      <c r="S5" s="97">
        <f>289553-50000</f>
        <v>239553</v>
      </c>
      <c r="T5" s="97">
        <v>0</v>
      </c>
      <c r="U5" s="136">
        <f t="shared" si="0"/>
        <v>551466</v>
      </c>
      <c r="V5" s="135">
        <f>ROUND(+Table1[[#This Row],[Total]]*0.949,0)</f>
        <v>523341</v>
      </c>
    </row>
    <row r="6" spans="1:22" x14ac:dyDescent="0.25">
      <c r="J6" s="34"/>
      <c r="K6" s="34"/>
      <c r="L6" s="34"/>
      <c r="M6" s="83" t="s">
        <v>69</v>
      </c>
      <c r="N6" s="155">
        <f>SUMIFS(Table_Query_from_MS_Access_Database[[#All],[HURF Exchange]],Table_Query_from_MS_Access_Database[[#All],[Transaction Year]],"2019",Table_Query_from_MS_Access_Database[[#All],[Transaction Type]],"loan in")</f>
        <v>0</v>
      </c>
      <c r="O6" s="138">
        <f>SUMIFS(Table_Query_from_MS_Access_Database[[#All],[HSIP]],Table_Query_from_MS_Access_Database[[#All],[Transaction Year]],"2019",Table_Query_from_MS_Access_Database[[#All],[Transaction Type]],"loan in")</f>
        <v>0</v>
      </c>
      <c r="P6" s="137">
        <f>SUMIFS(Table_Query_from_MS_Access_Database[[#All],[PLAN]],Table_Query_from_MS_Access_Database[[#All],[Transaction Year]],"2019",Table_Query_from_MS_Access_Database[[#All],[Transaction Type]],"loan in")</f>
        <v>0</v>
      </c>
      <c r="Q6" s="137">
        <f>SUMIFS(Table_Query_from_MS_Access_Database[[#All],[SPR]],Table_Query_from_MS_Access_Database[[#All],[Transaction Year]],"2019",Table_Query_from_MS_Access_Database[[#All],[Transaction Type]],"loan in")</f>
        <v>0</v>
      </c>
      <c r="R6" s="137">
        <f>SUMIFS(Table_Query_from_MS_Access_Database[[#All],[STP &lt;5]],Table_Query_from_MS_Access_Database[[#All],[Transaction Year]],"2019",Table_Query_from_MS_Access_Database[[#All],[Transaction Type]],"loan in")</f>
        <v>0</v>
      </c>
      <c r="S6" s="137">
        <f>SUMIFS(Table_Query_from_MS_Access_Database[[#All],[STP 5-2]],Table_Query_from_MS_Access_Database[[#All],[Transaction Year]],"2019",Table_Query_from_MS_Access_Database[[#All],[Transaction Type]],"loan in")</f>
        <v>0</v>
      </c>
      <c r="T6" s="137">
        <f>SUMIFS(Table_Query_from_MS_Access_Database[[#All],[STP Flex]],Table_Query_from_MS_Access_Database[[#All],[Transaction Year]],"2019",Table_Query_from_MS_Access_Database[[#All],[Transaction Type]],"loan in")</f>
        <v>0</v>
      </c>
      <c r="U6" s="136">
        <f t="shared" si="0"/>
        <v>0</v>
      </c>
      <c r="V6" s="138">
        <f>SUMIFS(Table_Query_from_MS_Access_Database_16[[#All],[Total]],Table_Query_from_MS_Access_Database_16[[#All],[Transaction Year]],"2019",Table_Query_from_MS_Access_Database_16[[#All],[Transaction Type]],"Loan In")</f>
        <v>0</v>
      </c>
    </row>
    <row r="7" spans="1:22" ht="15.6" x14ac:dyDescent="0.3">
      <c r="A7" s="40"/>
      <c r="J7" s="34"/>
      <c r="K7" s="34"/>
      <c r="L7" s="34"/>
      <c r="M7" s="83" t="s">
        <v>70</v>
      </c>
      <c r="N7" s="155">
        <f>SUMIFS(Table_Query_from_MS_Access_Database[[#All],[HURF Exchange]],Table_Query_from_MS_Access_Database[[#All],[Transaction Year]],"2019",Table_Query_from_MS_Access_Database[[#All],[Transaction Type]],"loan Out")</f>
        <v>0</v>
      </c>
      <c r="O7" s="138">
        <f>SUMIFS(Table_Query_from_MS_Access_Database[[#All],[HSIP]],Table_Query_from_MS_Access_Database[[#All],[Transaction Year]],"2019",Table_Query_from_MS_Access_Database[[#All],[Transaction Type]],"loan Out")</f>
        <v>0</v>
      </c>
      <c r="P7" s="137">
        <f>SUMIFS(Table_Query_from_MS_Access_Database[[#All],[PLAN]],Table_Query_from_MS_Access_Database[[#All],[Transaction Year]],"2019",Table_Query_from_MS_Access_Database[[#All],[Transaction Type]],"loan Out")</f>
        <v>0</v>
      </c>
      <c r="Q7" s="137">
        <f>SUMIFS(Table_Query_from_MS_Access_Database[[#All],[SPR]],Table_Query_from_MS_Access_Database[[#All],[Transaction Year]],"2019",Table_Query_from_MS_Access_Database[[#All],[Transaction Type]],"loan Out")</f>
        <v>0</v>
      </c>
      <c r="R7" s="137">
        <f>SUMIFS(Table_Query_from_MS_Access_Database[[#All],[STP &lt;5]],Table_Query_from_MS_Access_Database[[#All],[Transaction Year]],"2019",Table_Query_from_MS_Access_Database[[#All],[Transaction Type]],"loan Out")</f>
        <v>0</v>
      </c>
      <c r="S7" s="137">
        <f>SUMIFS(Table_Query_from_MS_Access_Database[[#All],[STP 5-2]],Table_Query_from_MS_Access_Database[[#All],[Transaction Year]],"2019",Table_Query_from_MS_Access_Database[[#All],[Transaction Type]],"loan Out")</f>
        <v>0</v>
      </c>
      <c r="T7" s="137">
        <f>SUMIFS(Table_Query_from_MS_Access_Database[[#All],[STP Flex]],Table_Query_from_MS_Access_Database[[#All],[Transaction Year]],"2019",Table_Query_from_MS_Access_Database[[#All],[Transaction Type]],"loan Out")</f>
        <v>0</v>
      </c>
      <c r="U7" s="136">
        <f t="shared" si="0"/>
        <v>0</v>
      </c>
      <c r="V7" s="138">
        <f>SUMIFS(Table_Query_from_MS_Access_Database_16[[#All],[Total]],Table_Query_from_MS_Access_Database_16[[#All],[Transaction Year]],"2019",Table_Query_from_MS_Access_Database_16[[#All],[Transaction Type]],"Loan Out")</f>
        <v>0</v>
      </c>
    </row>
    <row r="8" spans="1:22" ht="15.6" x14ac:dyDescent="0.3">
      <c r="J8" s="34"/>
      <c r="K8" s="34"/>
      <c r="L8" s="34"/>
      <c r="M8" s="82" t="s">
        <v>71</v>
      </c>
      <c r="N8" s="155">
        <f>SUMIFS(Table_Query_from_MS_Access_Database[[#All],[HURF Exchange]],Table_Query_from_MS_Access_Database[[#All],[Transaction Year]],"2019",Table_Query_from_MS_Access_Database[[#All],[Transaction Type]],"repayment in")</f>
        <v>0</v>
      </c>
      <c r="O8" s="138">
        <f>SUMIFS(Table_Query_from_MS_Access_Database[[#All],[HSIP]],Table_Query_from_MS_Access_Database[[#All],[Transaction Year]],"2019",Table_Query_from_MS_Access_Database[[#All],[Transaction Type]],"repayment in")</f>
        <v>0</v>
      </c>
      <c r="P8" s="137">
        <f>SUMIFS(Table_Query_from_MS_Access_Database[[#All],[PLAN]],Table_Query_from_MS_Access_Database[[#All],[Transaction Year]],"2019",Table_Query_from_MS_Access_Database[[#All],[Transaction Type]],"repayment in")</f>
        <v>0</v>
      </c>
      <c r="Q8" s="137">
        <f>SUMIFS(Table_Query_from_MS_Access_Database[[#All],[SPR]],Table_Query_from_MS_Access_Database[[#All],[Transaction Year]],"2019",Table_Query_from_MS_Access_Database[[#All],[Transaction Type]],"repayment in")</f>
        <v>0</v>
      </c>
      <c r="R8" s="137">
        <f>SUMIFS(Table_Query_from_MS_Access_Database[[#All],[STP &lt;5]],Table_Query_from_MS_Access_Database[[#All],[Transaction Year]],"2019",Table_Query_from_MS_Access_Database[[#All],[Transaction Type]],"repayment in")</f>
        <v>0</v>
      </c>
      <c r="S8" s="137">
        <f>SUMIFS(Table_Query_from_MS_Access_Database[[#All],[STP 5-2]],Table_Query_from_MS_Access_Database[[#All],[Transaction Year]],"2019",Table_Query_from_MS_Access_Database[[#All],[Transaction Type]],"repayment in")</f>
        <v>241140</v>
      </c>
      <c r="T8" s="137">
        <f>SUMIFS(Table_Query_from_MS_Access_Database[[#All],[STP Flex]],Table_Query_from_MS_Access_Database[[#All],[Transaction Year]],"2019",Table_Query_from_MS_Access_Database[[#All],[Transaction Type]],"repayment in")</f>
        <v>0</v>
      </c>
      <c r="U8" s="136">
        <f t="shared" si="0"/>
        <v>241140</v>
      </c>
      <c r="V8" s="138">
        <f>SUMIFS(Table_Query_from_MS_Access_Database_16[[#All],[Total]],Table_Query_from_MS_Access_Database_16[[#All],[Transaction Year]],"2019",Table_Query_from_MS_Access_Database_16[[#All],[Transaction Type]],"repayment In")</f>
        <v>241140</v>
      </c>
    </row>
    <row r="9" spans="1:22" ht="15.6" x14ac:dyDescent="0.3">
      <c r="A9" s="170" t="s">
        <v>87</v>
      </c>
      <c r="B9" s="170"/>
      <c r="C9" s="170"/>
      <c r="D9" s="170"/>
      <c r="E9" s="170"/>
      <c r="F9" s="170"/>
      <c r="G9" s="170"/>
      <c r="H9" s="170"/>
      <c r="I9" s="170"/>
      <c r="J9" s="170"/>
      <c r="K9" s="170"/>
      <c r="L9" s="170"/>
      <c r="M9" s="83" t="s">
        <v>72</v>
      </c>
      <c r="N9" s="155">
        <f>SUMIFS(Table_Query_from_MS_Access_Database[[#All],[HURF Exchange]],Table_Query_from_MS_Access_Database[[#All],[Transaction Year]],"2019",Table_Query_from_MS_Access_Database[[#All],[Transaction Type]],"repayment Out")</f>
        <v>0</v>
      </c>
      <c r="O9" s="138">
        <f>SUMIFS(Table_Query_from_MS_Access_Database[[#All],[HSIP]],Table_Query_from_MS_Access_Database[[#All],[Transaction Year]],"2019",Table_Query_from_MS_Access_Database[[#All],[Transaction Type]],"repayment Out")</f>
        <v>0</v>
      </c>
      <c r="P9" s="137">
        <f>SUMIFS(Table_Query_from_MS_Access_Database[[#All],[PLAN]],Table_Query_from_MS_Access_Database[[#All],[Transaction Year]],"2019",Table_Query_from_MS_Access_Database[[#All],[Transaction Type]],"repayment Out")</f>
        <v>0</v>
      </c>
      <c r="Q9" s="137">
        <f>SUMIFS(Table_Query_from_MS_Access_Database[[#All],[SPR]],Table_Query_from_MS_Access_Database[[#All],[Transaction Year]],"2019",Table_Query_from_MS_Access_Database[[#All],[Transaction Type]],"repayment Out")</f>
        <v>0</v>
      </c>
      <c r="R9" s="137">
        <f>SUMIFS(Table_Query_from_MS_Access_Database[[#All],[STP &lt;5]],Table_Query_from_MS_Access_Database[[#All],[Transaction Year]],"2019",Table_Query_from_MS_Access_Database[[#All],[Transaction Type]],"repayment Out")</f>
        <v>0</v>
      </c>
      <c r="S9" s="137">
        <f>SUMIFS(Table_Query_from_MS_Access_Database[[#All],[STP 5-2]],Table_Query_from_MS_Access_Database[[#All],[Transaction Year]],"2019",Table_Query_from_MS_Access_Database[[#All],[Transaction Type]],"repayment Out")</f>
        <v>0</v>
      </c>
      <c r="T9" s="137">
        <f>SUMIFS(Table_Query_from_MS_Access_Database[[#All],[STP Flex]],Table_Query_from_MS_Access_Database[[#All],[Transaction Year]],"2019",Table_Query_from_MS_Access_Database[[#All],[Transaction Type]],"repayment Out")</f>
        <v>0</v>
      </c>
      <c r="U9" s="136">
        <f t="shared" si="0"/>
        <v>0</v>
      </c>
      <c r="V9" s="138">
        <f>SUMIFS(Table_Query_from_MS_Access_Database_16[[#All],[Total]],Table_Query_from_MS_Access_Database_16[[#All],[Transaction Year]],"2019",Table_Query_from_MS_Access_Database_16[[#All],[Transaction Type]],"Repayment Out")</f>
        <v>0</v>
      </c>
    </row>
    <row r="10" spans="1:22" ht="15.6" x14ac:dyDescent="0.3">
      <c r="J10" s="34"/>
      <c r="K10" s="34"/>
      <c r="L10" s="34"/>
      <c r="M10" s="83" t="s">
        <v>73</v>
      </c>
      <c r="N10" s="155">
        <f>SUMIFS(Table_Query_from_MS_Access_Database[[#All],[HURF Exchange]],Table_Query_from_MS_Access_Database[[#All],[Transaction Year]],"2019",Table_Query_from_MS_Access_Database[[#All],[Transaction Type]],"Transfer in")</f>
        <v>0</v>
      </c>
      <c r="O10" s="138">
        <f>SUMIFS(Table_Query_from_MS_Access_Database[[#All],[HSIP]],Table_Query_from_MS_Access_Database[[#All],[Transaction Year]],"2019",Table_Query_from_MS_Access_Database[[#All],[Transaction Type]],"Transfer in")</f>
        <v>0</v>
      </c>
      <c r="P10" s="137">
        <f>SUMIFS(Table_Query_from_MS_Access_Database[[#All],[PLAN]],Table_Query_from_MS_Access_Database[[#All],[Transaction Year]],"2019",Table_Query_from_MS_Access_Database[[#All],[Transaction Type]],"Transfer in")</f>
        <v>0</v>
      </c>
      <c r="Q10" s="137">
        <f>SUMIFS(Table_Query_from_MS_Access_Database[[#All],[SPR]],Table_Query_from_MS_Access_Database[[#All],[Transaction Year]],"2019",Table_Query_from_MS_Access_Database[[#All],[Transaction Type]],"Transfer in")</f>
        <v>0</v>
      </c>
      <c r="R10" s="137">
        <f>SUMIFS(Table_Query_from_MS_Access_Database[[#All],[STP &lt;5]],Table_Query_from_MS_Access_Database[[#All],[Transaction Year]],"2019",Table_Query_from_MS_Access_Database[[#All],[Transaction Type]],"Transfer in")</f>
        <v>0</v>
      </c>
      <c r="S10" s="137">
        <f>SUMIFS(Table_Query_from_MS_Access_Database[[#All],[STP 5-2]],Table_Query_from_MS_Access_Database[[#All],[Transaction Year]],"2019",Table_Query_from_MS_Access_Database[[#All],[Transaction Type]],"Transfer in")</f>
        <v>0</v>
      </c>
      <c r="T10" s="137">
        <f>SUMIFS(Table_Query_from_MS_Access_Database[[#All],[STP Flex]],Table_Query_from_MS_Access_Database[[#All],[Transaction Year]],"2019",Table_Query_from_MS_Access_Database[[#All],[Transaction Type]],"Transfer in")</f>
        <v>0</v>
      </c>
      <c r="U10" s="136">
        <f t="shared" si="0"/>
        <v>0</v>
      </c>
      <c r="V10" s="138">
        <f>SUMIFS(Table_Query_from_MS_Access_Database_16[[#All],[Total]],Table_Query_from_MS_Access_Database_16[[#All],[Transaction Year]],"2019",Table_Query_from_MS_Access_Database_16[[#All],[Transaction Type]],"Transfer In")</f>
        <v>0</v>
      </c>
    </row>
    <row r="11" spans="1:22" ht="15.6" x14ac:dyDescent="0.3">
      <c r="F11" s="41"/>
      <c r="G11" s="41"/>
      <c r="J11" s="34"/>
      <c r="K11" s="34"/>
      <c r="L11" s="34"/>
      <c r="M11" s="83" t="s">
        <v>74</v>
      </c>
      <c r="N11" s="155">
        <f>SUMIFS(Table_Query_from_MS_Access_Database[[#All],[HURF Exchange]],Table_Query_from_MS_Access_Database[[#All],[Transaction Year]],"2019",Table_Query_from_MS_Access_Database[[#All],[Transaction Type]],"Transfer Out")</f>
        <v>0</v>
      </c>
      <c r="O11" s="138">
        <f>SUMIFS(Table_Query_from_MS_Access_Database[[#All],[HSIP]],Table_Query_from_MS_Access_Database[[#All],[Transaction Year]],"2019",Table_Query_from_MS_Access_Database[[#All],[Transaction Type]],"Transfer Out")</f>
        <v>0</v>
      </c>
      <c r="P11" s="137">
        <f>SUMIFS(Table_Query_from_MS_Access_Database[[#All],[PLAN]],Table_Query_from_MS_Access_Database[[#All],[Transaction Year]],"2019",Table_Query_from_MS_Access_Database[[#All],[Transaction Type]],"Transfer Out")</f>
        <v>0</v>
      </c>
      <c r="Q11" s="137">
        <f>SUMIFS(Table_Query_from_MS_Access_Database[[#All],[SPR]],Table_Query_from_MS_Access_Database[[#All],[Transaction Year]],"2019",Table_Query_from_MS_Access_Database[[#All],[Transaction Type]],"Transfer Out")</f>
        <v>0</v>
      </c>
      <c r="R11" s="137">
        <f>SUMIFS(Table_Query_from_MS_Access_Database[[#All],[STP &lt;5]],Table_Query_from_MS_Access_Database[[#All],[Transaction Year]],"2019",Table_Query_from_MS_Access_Database[[#All],[Transaction Type]],"Transfer Out")</f>
        <v>0</v>
      </c>
      <c r="S11" s="137">
        <f>SUMIFS(Table_Query_from_MS_Access_Database[[#All],[STP 5-2]],Table_Query_from_MS_Access_Database[[#All],[Transaction Year]],"2019",Table_Query_from_MS_Access_Database[[#All],[Transaction Type]],"Transfer Out")</f>
        <v>-302770</v>
      </c>
      <c r="T11" s="137">
        <f>SUMIFS(Table_Query_from_MS_Access_Database[[#All],[STP Flex]],Table_Query_from_MS_Access_Database[[#All],[Transaction Year]],"2019",Table_Query_from_MS_Access_Database[[#All],[Transaction Type]],"Transfer Out")</f>
        <v>0</v>
      </c>
      <c r="U11" s="136">
        <f t="shared" si="0"/>
        <v>-302770</v>
      </c>
      <c r="V11" s="138">
        <f>SUMIFS(Table_Query_from_MS_Access_Database_16[[#All],[Total]],Table_Query_from_MS_Access_Database_16[[#All],[Transaction Year]],"2019",Table_Query_from_MS_Access_Database_16[[#All],[Transaction Type]],"Transfer Out")</f>
        <v>-289145</v>
      </c>
    </row>
    <row r="12" spans="1:22" ht="39.6" x14ac:dyDescent="0.3">
      <c r="J12" s="34"/>
      <c r="K12" s="34"/>
      <c r="L12" s="34"/>
      <c r="M12" s="84" t="s">
        <v>113</v>
      </c>
      <c r="N12" s="156">
        <f t="shared" ref="N12" si="1">SUM(N4:N11)</f>
        <v>0</v>
      </c>
      <c r="O12" s="153">
        <f t="shared" ref="O12:T12" si="2">SUM(O4:O11)</f>
        <v>50000</v>
      </c>
      <c r="P12" s="139">
        <f t="shared" si="2"/>
        <v>123696</v>
      </c>
      <c r="Q12" s="139">
        <f t="shared" si="2"/>
        <v>125000</v>
      </c>
      <c r="R12" s="139">
        <f t="shared" si="2"/>
        <v>13217</v>
      </c>
      <c r="S12" s="139">
        <f t="shared" si="2"/>
        <v>177923</v>
      </c>
      <c r="T12" s="139">
        <f t="shared" si="2"/>
        <v>0</v>
      </c>
      <c r="U12" s="140">
        <f t="shared" si="0"/>
        <v>489836</v>
      </c>
      <c r="V12" s="141">
        <f>SUM(V4:V11)</f>
        <v>475336</v>
      </c>
    </row>
    <row r="13" spans="1:22" ht="15.6" x14ac:dyDescent="0.3">
      <c r="J13" s="34"/>
      <c r="K13" s="34"/>
      <c r="L13" s="34"/>
      <c r="M13" s="34"/>
      <c r="N13" s="42"/>
      <c r="O13" s="43"/>
      <c r="P13" s="43"/>
      <c r="Q13" s="43"/>
      <c r="R13" s="43"/>
      <c r="S13" s="43"/>
      <c r="T13" s="39"/>
    </row>
    <row r="14" spans="1:22" ht="15.75" customHeight="1" x14ac:dyDescent="0.3">
      <c r="A14" s="169" t="s">
        <v>62</v>
      </c>
      <c r="B14" s="169"/>
      <c r="C14" s="169"/>
      <c r="D14" s="169"/>
      <c r="J14" s="172" t="s">
        <v>63</v>
      </c>
      <c r="K14" s="173"/>
      <c r="L14" s="173"/>
      <c r="M14" s="174"/>
      <c r="N14" s="44"/>
      <c r="R14" s="45"/>
      <c r="S14" s="45"/>
      <c r="T14" s="45"/>
    </row>
    <row r="15" spans="1:22" s="48" customFormat="1" ht="27" x14ac:dyDescent="0.25">
      <c r="A15" s="126" t="s">
        <v>1</v>
      </c>
      <c r="B15" s="126" t="s">
        <v>0</v>
      </c>
      <c r="C15" s="126" t="s">
        <v>3</v>
      </c>
      <c r="D15" s="126" t="s">
        <v>84</v>
      </c>
      <c r="E15" s="126" t="s">
        <v>2</v>
      </c>
      <c r="F15" s="126" t="s">
        <v>46</v>
      </c>
      <c r="G15" s="126" t="s">
        <v>47</v>
      </c>
      <c r="H15" s="126" t="s">
        <v>48</v>
      </c>
      <c r="I15" s="126" t="s">
        <v>110</v>
      </c>
      <c r="J15" s="126" t="s">
        <v>49</v>
      </c>
      <c r="K15" s="79" t="s">
        <v>50</v>
      </c>
      <c r="L15" s="79" t="s">
        <v>51</v>
      </c>
      <c r="M15" s="126" t="s">
        <v>52</v>
      </c>
      <c r="N15" s="85" t="s">
        <v>152</v>
      </c>
      <c r="O15" s="126" t="s">
        <v>4</v>
      </c>
      <c r="P15" s="85" t="s">
        <v>42</v>
      </c>
      <c r="Q15" s="85" t="s">
        <v>5</v>
      </c>
      <c r="R15" s="86" t="s">
        <v>106</v>
      </c>
      <c r="S15" s="86" t="s">
        <v>149</v>
      </c>
      <c r="T15" s="86" t="s">
        <v>53</v>
      </c>
      <c r="U15" s="79" t="s">
        <v>85</v>
      </c>
      <c r="V15" s="79" t="s">
        <v>92</v>
      </c>
    </row>
    <row r="16" spans="1:22" s="51" customFormat="1" ht="13.5" x14ac:dyDescent="0.25">
      <c r="A16" s="51" t="s">
        <v>140</v>
      </c>
      <c r="C16" s="51" t="s">
        <v>118</v>
      </c>
      <c r="D16" s="51" t="s">
        <v>8</v>
      </c>
      <c r="E16" s="150" t="s">
        <v>141</v>
      </c>
      <c r="F16" s="77" t="s">
        <v>139</v>
      </c>
      <c r="G16" s="77" t="s">
        <v>109</v>
      </c>
      <c r="H16" s="77" t="s">
        <v>108</v>
      </c>
      <c r="I16" s="128" t="str">
        <f>CONCATENATE(Table_Query_from_MS_Access_Database8[RTE],Table_Query_from_MS_Access_Database8[SEC],Table_Query_from_MS_Access_Database8[SEQ])</f>
        <v>LHMP019</v>
      </c>
      <c r="J16" s="152">
        <v>43374</v>
      </c>
      <c r="K16" s="152">
        <v>43374</v>
      </c>
      <c r="L16" s="152">
        <v>43374</v>
      </c>
      <c r="M16" s="152">
        <v>43374</v>
      </c>
      <c r="N16" s="159"/>
      <c r="O16" s="146"/>
      <c r="P16" s="146">
        <v>89846.75</v>
      </c>
      <c r="Q16" s="146"/>
      <c r="R16" s="147"/>
      <c r="S16" s="98"/>
      <c r="T16" s="98"/>
      <c r="U16" s="98">
        <f>SUM(Table_Query_from_MS_Access_Database8[[#This Row],[HSIP]:[STP OTHER]])</f>
        <v>89846.75</v>
      </c>
      <c r="V16" s="98">
        <f>V12-Table_Query_from_MS_Access_Database8[TOTAL OF AMOUNT]</f>
        <v>385489.25</v>
      </c>
    </row>
    <row r="17" spans="1:22" s="51" customFormat="1" ht="13.5" x14ac:dyDescent="0.25">
      <c r="A17" s="151" t="s">
        <v>137</v>
      </c>
      <c r="B17" s="151"/>
      <c r="C17" s="151" t="s">
        <v>118</v>
      </c>
      <c r="D17" s="151" t="s">
        <v>8</v>
      </c>
      <c r="E17" s="148" t="s">
        <v>138</v>
      </c>
      <c r="F17" s="144" t="s">
        <v>139</v>
      </c>
      <c r="G17" s="144" t="s">
        <v>107</v>
      </c>
      <c r="H17" s="144" t="s">
        <v>108</v>
      </c>
      <c r="I17" s="144" t="str">
        <f>CONCATENATE(Table_Query_from_MS_Access_Database8[RTE],Table_Query_from_MS_Access_Database8[SEC],Table_Query_from_MS_Access_Database8[SEQ])</f>
        <v>LHMS019</v>
      </c>
      <c r="J17" s="145">
        <v>43374</v>
      </c>
      <c r="K17" s="145">
        <v>43374</v>
      </c>
      <c r="L17" s="145">
        <v>43374</v>
      </c>
      <c r="M17" s="145">
        <v>43374</v>
      </c>
      <c r="N17" s="160"/>
      <c r="O17" s="148"/>
      <c r="P17" s="148"/>
      <c r="Q17" s="148">
        <v>93750</v>
      </c>
      <c r="R17" s="148"/>
      <c r="S17" s="148"/>
      <c r="T17" s="148"/>
      <c r="U17" s="98">
        <f>SUM(Table_Query_from_MS_Access_Database8[[#This Row],[HSIP]:[STP OTHER]])</f>
        <v>93750</v>
      </c>
      <c r="V17" s="98">
        <f>V16-Table_Query_from_MS_Access_Database8[TOTAL OF AMOUNT]</f>
        <v>291739.25</v>
      </c>
    </row>
    <row r="18" spans="1:22" s="51" customFormat="1" ht="15" x14ac:dyDescent="0.25">
      <c r="A18" s="202" t="s">
        <v>188</v>
      </c>
      <c r="B18" s="202"/>
      <c r="C18" s="202" t="s">
        <v>118</v>
      </c>
      <c r="D18" s="202" t="s">
        <v>7</v>
      </c>
      <c r="E18" s="203" t="s">
        <v>189</v>
      </c>
      <c r="F18" s="204" t="s">
        <v>139</v>
      </c>
      <c r="G18" s="204" t="s">
        <v>190</v>
      </c>
      <c r="H18" s="204" t="s">
        <v>108</v>
      </c>
      <c r="I18" s="205" t="str">
        <f>CONCATENATE(Table_Query_from_MS_Access_Database8[RTE],Table_Query_from_MS_Access_Database8[SEC],Table_Query_from_MS_Access_Database8[SEQ])</f>
        <v>LHMT019</v>
      </c>
      <c r="J18" s="206">
        <v>43405</v>
      </c>
      <c r="K18" s="206">
        <v>43437</v>
      </c>
      <c r="L18" s="206">
        <v>43440</v>
      </c>
      <c r="M18" s="206">
        <v>43445</v>
      </c>
      <c r="N18" s="207"/>
      <c r="O18" s="203"/>
      <c r="P18" s="203"/>
      <c r="Q18" s="203"/>
      <c r="R18" s="203"/>
      <c r="S18" s="203">
        <v>50000</v>
      </c>
      <c r="T18" s="203"/>
      <c r="U18" s="201">
        <f>SUM(Table_Query_from_MS_Access_Database8[[#This Row],[HSIP]:[STP OTHER]])</f>
        <v>50000</v>
      </c>
      <c r="V18" s="98">
        <f>V17-Table_Query_from_MS_Access_Database8[TOTAL OF AMOUNT]</f>
        <v>241739.25</v>
      </c>
    </row>
    <row r="19" spans="1:22" s="51" customFormat="1" ht="15" x14ac:dyDescent="0.25">
      <c r="A19" s="202" t="s">
        <v>140</v>
      </c>
      <c r="B19" s="202"/>
      <c r="C19" s="202" t="s">
        <v>118</v>
      </c>
      <c r="D19" s="202" t="s">
        <v>8</v>
      </c>
      <c r="E19" s="203" t="s">
        <v>141</v>
      </c>
      <c r="F19" s="204" t="s">
        <v>139</v>
      </c>
      <c r="G19" s="204" t="s">
        <v>109</v>
      </c>
      <c r="H19" s="204" t="s">
        <v>108</v>
      </c>
      <c r="I19" s="205" t="str">
        <f>CONCATENATE(Table_Query_from_MS_Access_Database8[RTE],Table_Query_from_MS_Access_Database8[SEC],Table_Query_from_MS_Access_Database8[SEQ])</f>
        <v>LHMP019</v>
      </c>
      <c r="J19" s="206">
        <v>43405</v>
      </c>
      <c r="K19" s="206">
        <v>43434</v>
      </c>
      <c r="L19" s="206">
        <v>43438</v>
      </c>
      <c r="M19" s="206">
        <v>43445</v>
      </c>
      <c r="N19" s="207"/>
      <c r="O19" s="203"/>
      <c r="P19" s="203">
        <v>68.819999999999993</v>
      </c>
      <c r="Q19" s="203"/>
      <c r="R19" s="203"/>
      <c r="S19" s="203"/>
      <c r="T19" s="203"/>
      <c r="U19" s="201">
        <f>SUM(Table_Query_from_MS_Access_Database8[[#This Row],[HSIP]:[STP OTHER]])</f>
        <v>68.819999999999993</v>
      </c>
      <c r="V19" s="98">
        <f>V18-Table_Query_from_MS_Access_Database8[TOTAL OF AMOUNT]</f>
        <v>241670.43</v>
      </c>
    </row>
    <row r="20" spans="1:22" s="51" customFormat="1" ht="15" x14ac:dyDescent="0.25">
      <c r="A20" s="202" t="s">
        <v>137</v>
      </c>
      <c r="B20" s="202"/>
      <c r="C20" s="202" t="s">
        <v>118</v>
      </c>
      <c r="D20" s="202" t="s">
        <v>8</v>
      </c>
      <c r="E20" s="203" t="s">
        <v>138</v>
      </c>
      <c r="F20" s="204" t="s">
        <v>139</v>
      </c>
      <c r="G20" s="204" t="s">
        <v>107</v>
      </c>
      <c r="H20" s="204" t="s">
        <v>108</v>
      </c>
      <c r="I20" s="205" t="str">
        <f>CONCATENATE(Table_Query_from_MS_Access_Database8[RTE],Table_Query_from_MS_Access_Database8[SEC],Table_Query_from_MS_Access_Database8[SEQ])</f>
        <v>LHMS019</v>
      </c>
      <c r="J20" s="206">
        <v>43405</v>
      </c>
      <c r="K20" s="206">
        <v>43434</v>
      </c>
      <c r="L20" s="206">
        <v>43438</v>
      </c>
      <c r="M20" s="206">
        <v>43445</v>
      </c>
      <c r="N20" s="207"/>
      <c r="O20" s="203"/>
      <c r="P20" s="203"/>
      <c r="Q20" s="203">
        <v>123346.65</v>
      </c>
      <c r="R20" s="203"/>
      <c r="S20" s="203"/>
      <c r="T20" s="203"/>
      <c r="U20" s="201">
        <f>SUM(Table_Query_from_MS_Access_Database8[[#This Row],[HSIP]:[STP OTHER]])</f>
        <v>123346.65</v>
      </c>
      <c r="V20" s="98">
        <f>V19-Table_Query_from_MS_Access_Database8[TOTAL OF AMOUNT]</f>
        <v>118323.78</v>
      </c>
    </row>
    <row r="21" spans="1:22" s="92" customFormat="1" ht="15" x14ac:dyDescent="0.25">
      <c r="A21" s="202" t="s">
        <v>191</v>
      </c>
      <c r="B21" s="202"/>
      <c r="C21" s="202" t="s">
        <v>118</v>
      </c>
      <c r="D21" s="202" t="s">
        <v>8</v>
      </c>
      <c r="E21" s="203" t="s">
        <v>192</v>
      </c>
      <c r="F21" s="204" t="s">
        <v>139</v>
      </c>
      <c r="G21" s="204" t="s">
        <v>109</v>
      </c>
      <c r="H21" s="204" t="s">
        <v>193</v>
      </c>
      <c r="I21" s="205" t="str">
        <f>CONCATENATE(Table_Query_from_MS_Access_Database8[RTE],Table_Query_from_MS_Access_Database8[SEC],Table_Query_from_MS_Access_Database8[SEQ])</f>
        <v>LHMP018</v>
      </c>
      <c r="J21" s="206">
        <v>43405</v>
      </c>
      <c r="K21" s="206">
        <v>43434</v>
      </c>
      <c r="L21" s="206">
        <v>43438</v>
      </c>
      <c r="M21" s="206">
        <v>43445</v>
      </c>
      <c r="N21" s="207"/>
      <c r="O21" s="203"/>
      <c r="P21" s="203">
        <v>-68.819999999999993</v>
      </c>
      <c r="Q21" s="203"/>
      <c r="R21" s="203"/>
      <c r="S21" s="203"/>
      <c r="T21" s="203"/>
      <c r="U21" s="201">
        <f>SUM(Table_Query_from_MS_Access_Database8[[#This Row],[HSIP]:[STP OTHER]])</f>
        <v>-68.819999999999993</v>
      </c>
      <c r="V21" s="98">
        <f>V20-Table_Query_from_MS_Access_Database8[TOTAL OF AMOUNT]</f>
        <v>118392.6</v>
      </c>
    </row>
    <row r="22" spans="1:22" s="92" customFormat="1" ht="15" x14ac:dyDescent="0.25">
      <c r="A22" s="202" t="s">
        <v>194</v>
      </c>
      <c r="B22" s="202"/>
      <c r="C22" s="202" t="s">
        <v>118</v>
      </c>
      <c r="D22" s="202" t="s">
        <v>8</v>
      </c>
      <c r="E22" s="203" t="s">
        <v>195</v>
      </c>
      <c r="F22" s="204" t="s">
        <v>139</v>
      </c>
      <c r="G22" s="204" t="s">
        <v>107</v>
      </c>
      <c r="H22" s="204" t="s">
        <v>193</v>
      </c>
      <c r="I22" s="205" t="str">
        <f>CONCATENATE(Table_Query_from_MS_Access_Database8[RTE],Table_Query_from_MS_Access_Database8[SEC],Table_Query_from_MS_Access_Database8[SEQ])</f>
        <v>LHMS018</v>
      </c>
      <c r="J22" s="206">
        <v>43405</v>
      </c>
      <c r="K22" s="206">
        <v>43434</v>
      </c>
      <c r="L22" s="206">
        <v>43438</v>
      </c>
      <c r="M22" s="206">
        <v>43445</v>
      </c>
      <c r="N22" s="207"/>
      <c r="O22" s="203"/>
      <c r="P22" s="203"/>
      <c r="Q22" s="203">
        <v>-123346.65</v>
      </c>
      <c r="R22" s="203"/>
      <c r="S22" s="203"/>
      <c r="T22" s="203"/>
      <c r="U22" s="201">
        <f>SUM(Table_Query_from_MS_Access_Database8[[#This Row],[HSIP]:[STP OTHER]])</f>
        <v>-123346.65</v>
      </c>
      <c r="V22" s="98">
        <f>V21-Table_Query_from_MS_Access_Database8[TOTAL OF AMOUNT]</f>
        <v>241739.25</v>
      </c>
    </row>
    <row r="23" spans="1:22" s="92" customFormat="1" ht="13.5" x14ac:dyDescent="0.25">
      <c r="A23" s="51"/>
      <c r="B23" s="51"/>
      <c r="C23" s="51"/>
      <c r="D23" s="51"/>
      <c r="E23" s="46"/>
      <c r="F23" s="46"/>
      <c r="G23" s="46"/>
      <c r="H23" s="46"/>
      <c r="I23" s="46"/>
      <c r="J23" s="46"/>
      <c r="K23" s="46"/>
      <c r="L23" s="46"/>
      <c r="M23" s="78" t="s">
        <v>76</v>
      </c>
      <c r="N23" s="99">
        <f>SUM(Table_Query_from_MS_Access_Database8[[#All],[HURF EX]])</f>
        <v>0</v>
      </c>
      <c r="O23" s="99">
        <f>SUM(Table_Query_from_MS_Access_Database8[[#All],[HSIP]])</f>
        <v>0</v>
      </c>
      <c r="P23" s="99">
        <f>SUM(Table_Query_from_MS_Access_Database8[[#All],[PL]])</f>
        <v>89846.75</v>
      </c>
      <c r="Q23" s="99">
        <f>SUM(Table_Query_from_MS_Access_Database8[[#All],[SPR]])</f>
        <v>93750</v>
      </c>
      <c r="R23" s="99">
        <f>SUM(Table_Query_from_MS_Access_Database8[[#All],[STP &lt;5]])</f>
        <v>0</v>
      </c>
      <c r="S23" s="99">
        <f>SUM(Table_Query_from_MS_Access_Database8[[#All],[STP 5-200]])</f>
        <v>50000</v>
      </c>
      <c r="T23" s="99">
        <f>SUM(Table_Query_from_MS_Access_Database8[[#All],[STP OTHER]])</f>
        <v>0</v>
      </c>
      <c r="U23" s="99">
        <f>SUM(Table_Query_from_MS_Access_Database8[[#All],[TOTAL OF AMOUNT]])</f>
        <v>233596.74999999997</v>
      </c>
      <c r="V23" s="157"/>
    </row>
    <row r="24" spans="1:22" s="92" customFormat="1" ht="27" x14ac:dyDescent="0.25">
      <c r="E24" s="46"/>
      <c r="F24" s="46"/>
      <c r="G24" s="46"/>
      <c r="H24" s="46"/>
      <c r="I24" s="46"/>
      <c r="J24" s="46"/>
      <c r="K24" s="46"/>
      <c r="L24" s="46"/>
      <c r="M24" s="78" t="s">
        <v>75</v>
      </c>
      <c r="N24" s="99">
        <f>+N12-N23</f>
        <v>0</v>
      </c>
      <c r="O24" s="99">
        <f>+O12-O23</f>
        <v>50000</v>
      </c>
      <c r="P24" s="99">
        <f>+P12-P23</f>
        <v>33849.25</v>
      </c>
      <c r="Q24" s="99">
        <f>+Q12-Q23</f>
        <v>31250</v>
      </c>
      <c r="R24" s="99">
        <f>+R12-R23</f>
        <v>13217</v>
      </c>
      <c r="S24" s="99">
        <f>+S12-S23</f>
        <v>127923</v>
      </c>
      <c r="T24" s="99">
        <f>+T12-T23</f>
        <v>0</v>
      </c>
      <c r="U24" s="99">
        <f>+U12-U23</f>
        <v>256239.25000000003</v>
      </c>
      <c r="V24" s="157"/>
    </row>
    <row r="25" spans="1:22" s="92" customFormat="1" ht="15" x14ac:dyDescent="0.25">
      <c r="A25" s="53"/>
      <c r="B25" s="53"/>
      <c r="C25" s="53"/>
      <c r="D25" s="53"/>
      <c r="E25" s="47"/>
      <c r="F25" s="47"/>
      <c r="G25" s="47"/>
      <c r="H25" s="47"/>
      <c r="I25" s="47"/>
      <c r="J25" s="47"/>
      <c r="K25" s="47"/>
      <c r="L25" s="47"/>
      <c r="M25" s="53"/>
      <c r="N25" s="53"/>
      <c r="O25" s="53"/>
      <c r="P25" s="53"/>
      <c r="Q25" s="53"/>
      <c r="R25" s="53"/>
      <c r="S25" s="45"/>
      <c r="T25" s="51"/>
      <c r="U25" s="51"/>
      <c r="V25" s="51"/>
    </row>
    <row r="26" spans="1:22" s="92" customFormat="1" ht="17.25" x14ac:dyDescent="0.3">
      <c r="A26" s="169" t="s">
        <v>35</v>
      </c>
      <c r="B26" s="169"/>
      <c r="C26" s="169"/>
      <c r="D26" s="169"/>
      <c r="E26" s="52"/>
      <c r="F26" s="52"/>
      <c r="G26" s="53"/>
      <c r="H26" s="53"/>
      <c r="I26" s="53"/>
      <c r="J26" s="55"/>
      <c r="K26" s="54"/>
      <c r="L26" s="54"/>
      <c r="M26" s="54"/>
      <c r="N26" s="54"/>
      <c r="O26" s="45"/>
      <c r="P26" s="45"/>
      <c r="Q26" s="47"/>
      <c r="R26" s="47"/>
      <c r="S26" s="45"/>
      <c r="T26" s="51"/>
      <c r="U26" s="51"/>
      <c r="V26" s="56"/>
    </row>
    <row r="27" spans="1:22" s="92" customFormat="1" ht="40.5" x14ac:dyDescent="0.25">
      <c r="A27" s="79" t="s">
        <v>1</v>
      </c>
      <c r="B27" s="79" t="s">
        <v>0</v>
      </c>
      <c r="C27" s="79" t="s">
        <v>3</v>
      </c>
      <c r="D27" s="79" t="s">
        <v>84</v>
      </c>
      <c r="E27" s="79" t="s">
        <v>2</v>
      </c>
      <c r="F27" s="79" t="s">
        <v>46</v>
      </c>
      <c r="G27" s="79" t="s">
        <v>47</v>
      </c>
      <c r="H27" s="79" t="s">
        <v>48</v>
      </c>
      <c r="I27" s="79" t="s">
        <v>110</v>
      </c>
      <c r="J27" s="79" t="s">
        <v>49</v>
      </c>
      <c r="K27" s="79" t="s">
        <v>50</v>
      </c>
      <c r="L27" s="79" t="s">
        <v>51</v>
      </c>
      <c r="M27" s="79" t="s">
        <v>52</v>
      </c>
      <c r="N27" s="79" t="s">
        <v>152</v>
      </c>
      <c r="O27" s="79" t="s">
        <v>4</v>
      </c>
      <c r="P27" s="79" t="s">
        <v>42</v>
      </c>
      <c r="Q27" s="79" t="s">
        <v>5</v>
      </c>
      <c r="R27" s="79" t="s">
        <v>106</v>
      </c>
      <c r="S27" s="79" t="s">
        <v>149</v>
      </c>
      <c r="T27" s="79" t="s">
        <v>53</v>
      </c>
      <c r="U27" s="79" t="s">
        <v>85</v>
      </c>
      <c r="V27" s="79" t="s">
        <v>54</v>
      </c>
    </row>
    <row r="28" spans="1:22" s="92" customFormat="1" ht="27" x14ac:dyDescent="0.25">
      <c r="A28" s="51" t="s">
        <v>175</v>
      </c>
      <c r="B28" s="51" t="s">
        <v>176</v>
      </c>
      <c r="C28" s="51" t="s">
        <v>118</v>
      </c>
      <c r="D28" s="51" t="s">
        <v>7</v>
      </c>
      <c r="E28" s="77" t="s">
        <v>177</v>
      </c>
      <c r="F28" s="127" t="s">
        <v>139</v>
      </c>
      <c r="G28" s="128" t="s">
        <v>143</v>
      </c>
      <c r="H28" s="128" t="s">
        <v>176</v>
      </c>
      <c r="I28" s="128" t="str">
        <f>CONCATENATE(Table_Query_from_MS_Access_Database_1[RTE],Table_Query_from_MS_Access_Database_1[SEC],Table_Query_from_MS_Access_Database_1[SEQ])</f>
        <v>LHM0TBD</v>
      </c>
      <c r="J28" s="125">
        <v>43556</v>
      </c>
      <c r="K28" s="125"/>
      <c r="L28" s="125"/>
      <c r="M28" s="125"/>
      <c r="N28" s="159"/>
      <c r="O28" s="146">
        <v>50000</v>
      </c>
      <c r="P28" s="146"/>
      <c r="Q28" s="146"/>
      <c r="R28" s="147"/>
      <c r="S28" s="98"/>
      <c r="T28" s="98"/>
      <c r="U28" s="98">
        <f>SUM(Table_Query_from_MS_Access_Database_1[[#This Row],[HURF EX]:[STP OTHER]])</f>
        <v>50000</v>
      </c>
      <c r="V28" s="143">
        <f>V22-Table_Query_from_MS_Access_Database_1[TOTAL OF AMOUNT]</f>
        <v>191739.25</v>
      </c>
    </row>
    <row r="29" spans="1:22" s="51" customFormat="1" ht="13.5" x14ac:dyDescent="0.25">
      <c r="A29" s="162" t="s">
        <v>137</v>
      </c>
      <c r="B29" s="162"/>
      <c r="C29" s="162" t="s">
        <v>118</v>
      </c>
      <c r="D29" s="162" t="s">
        <v>8</v>
      </c>
      <c r="E29" s="163" t="s">
        <v>138</v>
      </c>
      <c r="F29" s="164" t="s">
        <v>139</v>
      </c>
      <c r="G29" s="165" t="s">
        <v>107</v>
      </c>
      <c r="H29" s="165" t="s">
        <v>108</v>
      </c>
      <c r="I29" s="165" t="str">
        <f>CONCATENATE(Table_Query_from_MS_Access_Database_1[RTE],Table_Query_from_MS_Access_Database_1[SEC],Table_Query_from_MS_Access_Database_1[SEQ])</f>
        <v>LHMS019</v>
      </c>
      <c r="J29" s="166"/>
      <c r="K29" s="166">
        <v>43489</v>
      </c>
      <c r="L29" s="166"/>
      <c r="M29" s="166"/>
      <c r="N29" s="159"/>
      <c r="O29" s="146"/>
      <c r="P29" s="146"/>
      <c r="Q29" s="146">
        <v>24550.2</v>
      </c>
      <c r="R29" s="146"/>
      <c r="S29" s="143"/>
      <c r="T29" s="143"/>
      <c r="U29" s="143">
        <f>SUM(Table_Query_from_MS_Access_Database_1[[#This Row],[HURF EX]:[STP OTHER]])</f>
        <v>24550.2</v>
      </c>
      <c r="V29" s="143">
        <f>V28-Table_Query_from_MS_Access_Database_1[TOTAL OF AMOUNT]</f>
        <v>167189.04999999999</v>
      </c>
    </row>
    <row r="30" spans="1:22" s="51" customFormat="1" ht="13.5" x14ac:dyDescent="0.25">
      <c r="A30" s="162" t="s">
        <v>178</v>
      </c>
      <c r="B30" s="162"/>
      <c r="C30" s="162" t="s">
        <v>118</v>
      </c>
      <c r="D30" s="162" t="s">
        <v>7</v>
      </c>
      <c r="E30" s="163" t="s">
        <v>179</v>
      </c>
      <c r="F30" s="164" t="s">
        <v>139</v>
      </c>
      <c r="G30" s="165" t="s">
        <v>107</v>
      </c>
      <c r="H30" s="165" t="s">
        <v>180</v>
      </c>
      <c r="I30" s="165" t="str">
        <f>CONCATENATE(Table_Query_from_MS_Access_Database_1[RTE],Table_Query_from_MS_Access_Database_1[SEC],Table_Query_from_MS_Access_Database_1[SEQ])</f>
        <v>LHMS020</v>
      </c>
      <c r="J30" s="166">
        <v>43617</v>
      </c>
      <c r="K30" s="166"/>
      <c r="L30" s="166"/>
      <c r="M30" s="166"/>
      <c r="N30" s="159"/>
      <c r="O30" s="146"/>
      <c r="P30" s="146"/>
      <c r="Q30" s="146">
        <v>31250</v>
      </c>
      <c r="R30" s="146"/>
      <c r="S30" s="143"/>
      <c r="T30" s="143"/>
      <c r="U30" s="143">
        <f>SUM(Table_Query_from_MS_Access_Database_1[[#This Row],[HURF EX]:[STP OTHER]])</f>
        <v>31250</v>
      </c>
      <c r="V30" s="143">
        <f>V29-Table_Query_from_MS_Access_Database_1[TOTAL OF AMOUNT]</f>
        <v>135939.04999999999</v>
      </c>
    </row>
    <row r="31" spans="1:22" s="51" customFormat="1" ht="13.5" x14ac:dyDescent="0.25">
      <c r="A31" s="194" t="s">
        <v>181</v>
      </c>
      <c r="B31" s="194"/>
      <c r="C31" s="194" t="s">
        <v>118</v>
      </c>
      <c r="D31" s="194" t="s">
        <v>7</v>
      </c>
      <c r="E31" s="195" t="s">
        <v>182</v>
      </c>
      <c r="F31" s="196" t="s">
        <v>139</v>
      </c>
      <c r="G31" s="197" t="s">
        <v>109</v>
      </c>
      <c r="H31" s="197" t="s">
        <v>180</v>
      </c>
      <c r="I31" s="197" t="str">
        <f>CONCATENATE(Table_Query_from_MS_Access_Database_1[RTE],Table_Query_from_MS_Access_Database_1[SEC],Table_Query_from_MS_Access_Database_1[SEQ])</f>
        <v>LHMP020</v>
      </c>
      <c r="J31" s="198">
        <v>43617</v>
      </c>
      <c r="K31" s="198"/>
      <c r="L31" s="198"/>
      <c r="M31" s="198"/>
      <c r="N31" s="199"/>
      <c r="O31" s="200"/>
      <c r="P31" s="200">
        <v>30803.25</v>
      </c>
      <c r="Q31" s="200"/>
      <c r="R31" s="200"/>
      <c r="S31" s="201"/>
      <c r="T31" s="201"/>
      <c r="U31" s="201">
        <f>SUM(Table_Query_from_MS_Access_Database_1[[#This Row],[HURF EX]:[STP OTHER]])</f>
        <v>30803.25</v>
      </c>
      <c r="V31" s="143">
        <f>V30-Table_Query_from_MS_Access_Database_1[TOTAL OF AMOUNT]</f>
        <v>105135.79999999999</v>
      </c>
    </row>
    <row r="32" spans="1:22" s="51" customFormat="1" ht="13.5" x14ac:dyDescent="0.25">
      <c r="A32" s="194" t="s">
        <v>183</v>
      </c>
      <c r="B32" s="194"/>
      <c r="C32" s="194" t="s">
        <v>118</v>
      </c>
      <c r="D32" s="194" t="s">
        <v>8</v>
      </c>
      <c r="E32" s="195" t="s">
        <v>184</v>
      </c>
      <c r="F32" s="196" t="s">
        <v>185</v>
      </c>
      <c r="G32" s="197" t="s">
        <v>186</v>
      </c>
      <c r="H32" s="197" t="s">
        <v>187</v>
      </c>
      <c r="I32" s="197" t="str">
        <f>CONCATENATE(Table_Query_from_MS_Access_Database_1[RTE],Table_Query_from_MS_Access_Database_1[SEC],Table_Query_from_MS_Access_Database_1[SEQ])</f>
        <v>000Q188</v>
      </c>
      <c r="J32" s="198"/>
      <c r="K32" s="198">
        <v>43489</v>
      </c>
      <c r="L32" s="198"/>
      <c r="M32" s="198"/>
      <c r="N32" s="199"/>
      <c r="O32" s="200"/>
      <c r="P32" s="200"/>
      <c r="Q32" s="200">
        <v>-24550.2</v>
      </c>
      <c r="R32" s="200"/>
      <c r="S32" s="201"/>
      <c r="T32" s="201"/>
      <c r="U32" s="201">
        <f>SUM(Table_Query_from_MS_Access_Database_1[[#This Row],[HURF EX]:[STP OTHER]])</f>
        <v>-24550.2</v>
      </c>
      <c r="V32" s="143">
        <f>V31-Table_Query_from_MS_Access_Database_1[TOTAL OF AMOUNT]</f>
        <v>129685.99999999999</v>
      </c>
    </row>
    <row r="33" spans="1:22" s="51" customFormat="1" ht="13.5" x14ac:dyDescent="0.25">
      <c r="J33" s="56"/>
      <c r="K33" s="56"/>
      <c r="L33" s="56"/>
      <c r="M33" s="80" t="s">
        <v>86</v>
      </c>
      <c r="N33" s="149">
        <f>SUM(Table_Query_from_MS_Access_Database_1[[#All],[HURF EX]])</f>
        <v>0</v>
      </c>
      <c r="O33" s="149">
        <f>SUM(Table_Query_from_MS_Access_Database_1[[#All],[HSIP]])</f>
        <v>50000</v>
      </c>
      <c r="P33" s="149">
        <f>SUM(Table_Query_from_MS_Access_Database_1[[#All],[PL]])</f>
        <v>30803.25</v>
      </c>
      <c r="Q33" s="149">
        <f>SUM(Table_Query_from_MS_Access_Database_1[[#All],[SPR]])</f>
        <v>31249.999999999996</v>
      </c>
      <c r="R33" s="149">
        <f>SUM(Table_Query_from_MS_Access_Database_1[[#All],[STP &lt;5]])</f>
        <v>0</v>
      </c>
      <c r="S33" s="149">
        <f>SUM(Table_Query_from_MS_Access_Database_1[[#All],[STP 5-200]])</f>
        <v>0</v>
      </c>
      <c r="T33" s="149">
        <f>SUM(Table_Query_from_MS_Access_Database_1[[#All],[STP OTHER]])</f>
        <v>0</v>
      </c>
      <c r="U33" s="149">
        <f>SUM(Table_Query_from_MS_Access_Database_1[[#All],[TOTAL OF AMOUNT]])</f>
        <v>112053.25000000001</v>
      </c>
      <c r="V33" s="161"/>
    </row>
    <row r="34" spans="1:22" s="48" customFormat="1" ht="15" customHeight="1" x14ac:dyDescent="0.25">
      <c r="A34" s="51"/>
      <c r="B34" s="51"/>
      <c r="C34" s="51"/>
      <c r="D34" s="51"/>
      <c r="E34" s="51"/>
      <c r="F34" s="51"/>
      <c r="G34" s="51"/>
      <c r="H34" s="51"/>
      <c r="I34" s="51"/>
      <c r="J34" s="56"/>
      <c r="K34" s="56"/>
      <c r="L34" s="56"/>
      <c r="M34" s="81" t="s">
        <v>75</v>
      </c>
      <c r="N34" s="99">
        <f t="shared" ref="N34:U34" si="3">+N24-N33</f>
        <v>0</v>
      </c>
      <c r="O34" s="99">
        <f t="shared" si="3"/>
        <v>0</v>
      </c>
      <c r="P34" s="99">
        <f t="shared" si="3"/>
        <v>3046</v>
      </c>
      <c r="Q34" s="99">
        <f t="shared" si="3"/>
        <v>0</v>
      </c>
      <c r="R34" s="99">
        <f t="shared" si="3"/>
        <v>13217</v>
      </c>
      <c r="S34" s="99">
        <f t="shared" si="3"/>
        <v>127923</v>
      </c>
      <c r="T34" s="99">
        <f t="shared" si="3"/>
        <v>0</v>
      </c>
      <c r="U34" s="99">
        <f t="shared" si="3"/>
        <v>144186</v>
      </c>
      <c r="V34" s="161"/>
    </row>
    <row r="35" spans="1:22" s="48" customFormat="1" x14ac:dyDescent="0.25">
      <c r="J35" s="50"/>
      <c r="K35" s="50"/>
      <c r="L35" s="50"/>
      <c r="M35" s="50"/>
      <c r="N35" s="50">
        <f>N23+N33</f>
        <v>0</v>
      </c>
      <c r="O35" s="50">
        <f t="shared" ref="O35:U35" si="4">O23+O33</f>
        <v>50000</v>
      </c>
      <c r="P35" s="50">
        <f t="shared" si="4"/>
        <v>120650</v>
      </c>
      <c r="Q35" s="50">
        <f t="shared" si="4"/>
        <v>125000</v>
      </c>
      <c r="R35" s="50">
        <f t="shared" si="4"/>
        <v>0</v>
      </c>
      <c r="S35" s="50">
        <f t="shared" si="4"/>
        <v>50000</v>
      </c>
      <c r="T35" s="50">
        <f t="shared" si="4"/>
        <v>0</v>
      </c>
      <c r="U35" s="50">
        <f t="shared" si="4"/>
        <v>345650</v>
      </c>
      <c r="V35" s="51"/>
    </row>
    <row r="36" spans="1:22" s="51" customFormat="1" x14ac:dyDescent="0.25">
      <c r="A36" s="48"/>
      <c r="B36" s="48"/>
      <c r="C36" s="48"/>
      <c r="D36" s="48"/>
      <c r="E36" s="48"/>
      <c r="F36" s="48"/>
      <c r="G36" s="48"/>
      <c r="H36" s="48"/>
      <c r="I36" s="48"/>
      <c r="J36" s="50"/>
      <c r="K36" s="50"/>
      <c r="L36" s="50"/>
      <c r="M36" s="50"/>
      <c r="N36" s="50"/>
      <c r="O36" s="50"/>
      <c r="P36" s="50"/>
      <c r="Q36" s="50"/>
      <c r="R36" s="48"/>
      <c r="S36" s="48"/>
      <c r="T36" s="56"/>
      <c r="U36" s="92"/>
    </row>
    <row r="37" spans="1:22" s="51" customFormat="1" ht="17.25" x14ac:dyDescent="0.25">
      <c r="A37" s="57" t="s">
        <v>77</v>
      </c>
      <c r="B37" s="48"/>
      <c r="C37" s="48"/>
      <c r="D37" s="48"/>
      <c r="E37" s="48"/>
      <c r="F37" s="48"/>
      <c r="G37" s="48"/>
      <c r="H37" s="48"/>
      <c r="I37" s="48"/>
      <c r="J37" s="50"/>
      <c r="K37" s="50"/>
      <c r="L37" s="50"/>
      <c r="M37" s="50"/>
      <c r="N37" s="167" t="s">
        <v>59</v>
      </c>
      <c r="O37" s="167"/>
      <c r="P37" s="167"/>
      <c r="Q37" s="167"/>
      <c r="R37" s="52"/>
      <c r="S37" s="48"/>
      <c r="T37" s="56"/>
    </row>
    <row r="38" spans="1:22" x14ac:dyDescent="0.25">
      <c r="A38" s="51"/>
      <c r="B38" s="51"/>
      <c r="C38" s="51"/>
      <c r="D38" s="51"/>
      <c r="E38" s="51"/>
      <c r="F38" s="51"/>
      <c r="G38" s="51"/>
      <c r="H38" s="51"/>
      <c r="I38" s="51"/>
      <c r="J38" s="56"/>
      <c r="K38" s="56"/>
      <c r="L38" s="56"/>
      <c r="M38" s="100"/>
      <c r="N38" s="131" t="s">
        <v>151</v>
      </c>
      <c r="O38" s="131" t="s">
        <v>4</v>
      </c>
      <c r="P38" s="131" t="s">
        <v>42</v>
      </c>
      <c r="Q38" s="131" t="s">
        <v>5</v>
      </c>
      <c r="R38" s="131" t="s">
        <v>106</v>
      </c>
      <c r="S38" s="131" t="s">
        <v>112</v>
      </c>
      <c r="T38" s="131" t="s">
        <v>53</v>
      </c>
      <c r="U38" s="131" t="s">
        <v>55</v>
      </c>
      <c r="V38" s="101" t="s">
        <v>60</v>
      </c>
    </row>
    <row r="39" spans="1:22" x14ac:dyDescent="0.25">
      <c r="A39" s="51"/>
      <c r="B39" s="51"/>
      <c r="C39" s="51"/>
      <c r="D39" s="51"/>
      <c r="E39" s="51"/>
      <c r="F39" s="51"/>
      <c r="G39" s="51"/>
      <c r="H39" s="51"/>
      <c r="I39" s="51"/>
      <c r="J39" s="56"/>
      <c r="K39" s="56"/>
      <c r="L39" s="56"/>
      <c r="M39" s="94" t="s">
        <v>163</v>
      </c>
      <c r="N39" s="96">
        <f>+N34</f>
        <v>0</v>
      </c>
      <c r="O39" s="96">
        <f t="shared" ref="O39:S39" si="5">+O34</f>
        <v>0</v>
      </c>
      <c r="P39" s="96">
        <f t="shared" si="5"/>
        <v>3046</v>
      </c>
      <c r="Q39" s="96">
        <f t="shared" si="5"/>
        <v>0</v>
      </c>
      <c r="R39" s="96">
        <f t="shared" si="5"/>
        <v>13217</v>
      </c>
      <c r="S39" s="96">
        <f t="shared" si="5"/>
        <v>127923</v>
      </c>
      <c r="T39" s="96">
        <f t="shared" ref="T39" si="6">+T34</f>
        <v>0</v>
      </c>
      <c r="U39" s="96">
        <f>SUM(N39:T39)</f>
        <v>144186</v>
      </c>
      <c r="V39" s="96">
        <f>V32</f>
        <v>129685.99999999999</v>
      </c>
    </row>
    <row r="40" spans="1:22" x14ac:dyDescent="0.25">
      <c r="A40" s="51"/>
      <c r="B40" s="51"/>
      <c r="C40" s="51"/>
      <c r="D40" s="51"/>
      <c r="E40" s="51"/>
      <c r="F40" s="51"/>
      <c r="G40" s="51"/>
      <c r="H40" s="51"/>
      <c r="I40" s="51"/>
      <c r="J40" s="56"/>
      <c r="K40" s="56"/>
      <c r="L40" s="56"/>
      <c r="M40" s="94" t="s">
        <v>164</v>
      </c>
      <c r="N40" s="130">
        <v>0</v>
      </c>
      <c r="O40" s="130">
        <v>0</v>
      </c>
      <c r="P40" s="130">
        <v>0</v>
      </c>
      <c r="Q40" s="130">
        <v>0</v>
      </c>
      <c r="R40" s="130">
        <v>0</v>
      </c>
      <c r="S40" s="130">
        <v>0</v>
      </c>
      <c r="T40" s="130">
        <v>0</v>
      </c>
      <c r="U40" s="130">
        <f>SUM(N40:T40)</f>
        <v>0</v>
      </c>
      <c r="V40" s="130">
        <v>0</v>
      </c>
    </row>
    <row r="41" spans="1:22" x14ac:dyDescent="0.25">
      <c r="A41" s="51"/>
      <c r="B41" s="51"/>
      <c r="C41" s="51"/>
      <c r="D41" s="51"/>
      <c r="E41" s="51"/>
      <c r="F41" s="51"/>
      <c r="G41" s="51"/>
      <c r="H41" s="51"/>
      <c r="I41" s="51"/>
      <c r="J41" s="56"/>
      <c r="K41" s="56"/>
      <c r="L41" s="56"/>
      <c r="M41" s="94" t="s">
        <v>165</v>
      </c>
      <c r="N41" s="97">
        <f t="shared" ref="N41" si="7">SUM(N39:N40)</f>
        <v>0</v>
      </c>
      <c r="O41" s="97">
        <f t="shared" ref="O41:S41" si="8">SUM(O39:O40)</f>
        <v>0</v>
      </c>
      <c r="P41" s="97">
        <f t="shared" si="8"/>
        <v>3046</v>
      </c>
      <c r="Q41" s="97">
        <f t="shared" si="8"/>
        <v>0</v>
      </c>
      <c r="R41" s="97">
        <f t="shared" si="8"/>
        <v>13217</v>
      </c>
      <c r="S41" s="97">
        <f t="shared" si="8"/>
        <v>127923</v>
      </c>
      <c r="T41" s="97">
        <f t="shared" ref="T41" si="9">SUM(T39:T40)</f>
        <v>0</v>
      </c>
      <c r="U41" s="97">
        <f>SUM(N41:T41)</f>
        <v>144186</v>
      </c>
      <c r="V41" s="97">
        <f>SUM(V39:V40)</f>
        <v>129685.99999999999</v>
      </c>
    </row>
    <row r="42" spans="1:22" x14ac:dyDescent="0.25">
      <c r="A42" s="51"/>
      <c r="B42" s="51"/>
      <c r="C42" s="51"/>
      <c r="D42" s="51"/>
      <c r="E42" s="51"/>
      <c r="F42" s="51"/>
      <c r="G42" s="51"/>
      <c r="H42" s="51"/>
      <c r="I42" s="51"/>
      <c r="J42" s="56"/>
      <c r="K42" s="56"/>
      <c r="L42" s="56"/>
      <c r="M42" s="95" t="s">
        <v>166</v>
      </c>
      <c r="N42" s="130">
        <f>+N39-N34</f>
        <v>0</v>
      </c>
      <c r="O42" s="130">
        <f t="shared" ref="O42:S42" si="10">+O39-O34</f>
        <v>0</v>
      </c>
      <c r="P42" s="130">
        <f t="shared" si="10"/>
        <v>0</v>
      </c>
      <c r="Q42" s="130">
        <f t="shared" si="10"/>
        <v>0</v>
      </c>
      <c r="R42" s="130">
        <f t="shared" si="10"/>
        <v>0</v>
      </c>
      <c r="S42" s="130">
        <f t="shared" si="10"/>
        <v>0</v>
      </c>
      <c r="T42" s="130">
        <f t="shared" ref="T42" si="11">+T39-T34</f>
        <v>0</v>
      </c>
      <c r="U42" s="130">
        <v>0</v>
      </c>
      <c r="V42" s="130">
        <v>0</v>
      </c>
    </row>
  </sheetData>
  <sheetProtection autoFilter="0"/>
  <mergeCells count="10">
    <mergeCell ref="N37:Q37"/>
    <mergeCell ref="A1:F1"/>
    <mergeCell ref="A14:D14"/>
    <mergeCell ref="A9:L9"/>
    <mergeCell ref="A3:D3"/>
    <mergeCell ref="A4:D4"/>
    <mergeCell ref="J14:M14"/>
    <mergeCell ref="A26:D26"/>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74"/>
  <sheetViews>
    <sheetView zoomScaleNormal="100" workbookViewId="0">
      <selection activeCell="E42" sqref="E42"/>
    </sheetView>
  </sheetViews>
  <sheetFormatPr defaultColWidth="19.7109375" defaultRowHeight="15" x14ac:dyDescent="0.25"/>
  <cols>
    <col min="1" max="1" width="19.5703125" style="25" customWidth="1"/>
    <col min="2" max="2" width="19.85546875" style="25" customWidth="1"/>
    <col min="3" max="3" width="18.85546875" style="25" customWidth="1"/>
    <col min="4" max="5" width="9.5703125" style="25" customWidth="1"/>
    <col min="6" max="6" width="19.5703125" style="25" customWidth="1"/>
    <col min="7" max="7" width="28.5703125" style="25" customWidth="1"/>
    <col min="8" max="8" width="39.85546875" style="26" customWidth="1"/>
    <col min="9" max="9" width="12.42578125" style="25" customWidth="1"/>
    <col min="10" max="10" width="18.42578125" style="25" customWidth="1"/>
    <col min="11" max="11" width="12.42578125" style="25" customWidth="1"/>
    <col min="12" max="12" width="11.42578125" style="25" customWidth="1"/>
    <col min="13" max="13" width="8" style="25" customWidth="1"/>
    <col min="14" max="14" width="10.28515625" style="25" customWidth="1"/>
    <col min="15" max="16" width="12.42578125" style="25" customWidth="1"/>
    <col min="17" max="17" width="10.5703125" style="25" customWidth="1"/>
    <col min="18" max="18" width="11.28515625" style="25" customWidth="1"/>
    <col min="19" max="19" width="12.28515625" style="25" customWidth="1"/>
    <col min="20" max="20" width="11.5703125" style="25" bestFit="1" customWidth="1"/>
    <col min="21" max="22" width="9.85546875" style="25" customWidth="1"/>
    <col min="23" max="23" width="13.42578125" style="25" customWidth="1"/>
    <col min="24" max="24" width="15.7109375" style="25" customWidth="1"/>
    <col min="25" max="26" width="9.5703125" style="25" customWidth="1"/>
    <col min="27" max="27" width="11.85546875" style="25" customWidth="1"/>
    <col min="28" max="28" width="64.28515625" style="25" customWidth="1"/>
    <col min="29" max="29" width="14" style="25" customWidth="1"/>
    <col min="30" max="30" width="16.85546875" style="25" customWidth="1"/>
    <col min="31" max="31" width="12.140625" style="25" customWidth="1"/>
    <col min="32" max="32" width="16" style="25" customWidth="1"/>
    <col min="33" max="16384" width="19.7109375" style="9"/>
  </cols>
  <sheetData>
    <row r="1" spans="1:32" ht="18" x14ac:dyDescent="0.3">
      <c r="A1" s="179" t="str">
        <f>+'Federal Funds Transactions'!A1:F1</f>
        <v>Lake Havasu Metropolitan Planning Organization</v>
      </c>
      <c r="B1" s="179"/>
      <c r="C1" s="179"/>
      <c r="D1" s="179"/>
      <c r="E1" s="179"/>
      <c r="F1" s="179"/>
    </row>
    <row r="2" spans="1:32" ht="14.45" x14ac:dyDescent="0.3">
      <c r="A2" s="27"/>
      <c r="B2" s="27"/>
      <c r="C2" s="27"/>
      <c r="D2" s="27"/>
      <c r="E2" s="27"/>
      <c r="F2" s="27"/>
    </row>
    <row r="3" spans="1:32" ht="14.45" x14ac:dyDescent="0.3">
      <c r="A3" s="180" t="s">
        <v>83</v>
      </c>
      <c r="B3" s="180"/>
      <c r="C3" s="180"/>
      <c r="D3" s="180"/>
      <c r="E3" s="180"/>
      <c r="F3" s="180"/>
    </row>
    <row r="4" spans="1:32" ht="14.45" x14ac:dyDescent="0.3">
      <c r="A4" s="28"/>
      <c r="B4" s="28"/>
      <c r="C4" s="28"/>
      <c r="D4" s="28"/>
      <c r="E4" s="28"/>
      <c r="F4" s="28"/>
    </row>
    <row r="5" spans="1:32" ht="14.45" x14ac:dyDescent="0.3">
      <c r="A5" s="25" t="s">
        <v>82</v>
      </c>
      <c r="B5" s="66">
        <f>+'Federal Funds Transactions'!C5</f>
        <v>43496</v>
      </c>
      <c r="C5" s="27"/>
      <c r="D5" s="27"/>
      <c r="E5" s="27"/>
      <c r="F5" s="27"/>
    </row>
    <row r="6" spans="1:32" ht="14.45" x14ac:dyDescent="0.3">
      <c r="A6" s="27"/>
      <c r="B6" s="27"/>
      <c r="C6" s="27"/>
      <c r="D6" s="27"/>
      <c r="E6" s="27"/>
      <c r="F6" s="27"/>
    </row>
    <row r="7" spans="1:32" ht="15" customHeight="1" x14ac:dyDescent="0.3">
      <c r="A7" s="183" t="str">
        <f>+'Federal Funds Transactions'!A9:L9</f>
        <v>IMPORTANT! Please review the information in the Notes tab for further explanation of the data in this document.</v>
      </c>
      <c r="B7" s="183"/>
      <c r="C7" s="183"/>
      <c r="D7" s="183"/>
      <c r="E7" s="183"/>
      <c r="F7" s="183"/>
      <c r="G7" s="183"/>
      <c r="H7" s="183"/>
    </row>
    <row r="9" spans="1:32" ht="15.75" customHeight="1" x14ac:dyDescent="0.3">
      <c r="A9" s="181" t="s">
        <v>79</v>
      </c>
      <c r="B9" s="181"/>
      <c r="C9" s="181"/>
      <c r="D9" s="181"/>
      <c r="E9" s="181"/>
      <c r="F9" s="181"/>
      <c r="G9" s="181"/>
      <c r="M9" s="29"/>
      <c r="N9" s="29"/>
      <c r="O9" s="29"/>
      <c r="P9" s="29"/>
      <c r="Q9" s="29"/>
      <c r="R9" s="29"/>
      <c r="S9" s="29"/>
      <c r="T9" s="29"/>
      <c r="U9" s="29"/>
      <c r="V9" s="29"/>
      <c r="W9" s="29"/>
      <c r="X9" s="29"/>
      <c r="Y9" s="29"/>
      <c r="Z9" s="29"/>
      <c r="AA9" s="29"/>
      <c r="AB9" s="29"/>
      <c r="AC9" s="29"/>
      <c r="AD9" s="29"/>
    </row>
    <row r="10" spans="1:3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31"/>
      <c r="AF10" s="31"/>
    </row>
    <row r="11" spans="1:32" x14ac:dyDescent="0.25">
      <c r="A11" s="73" t="s">
        <v>43</v>
      </c>
      <c r="B11" s="74" t="s">
        <v>44</v>
      </c>
      <c r="C11" s="74" t="s">
        <v>13</v>
      </c>
      <c r="D11" s="74" t="s">
        <v>88</v>
      </c>
      <c r="E11" s="74" t="s">
        <v>89</v>
      </c>
      <c r="F11" s="74" t="s">
        <v>45</v>
      </c>
      <c r="G11" s="74" t="s">
        <v>90</v>
      </c>
      <c r="H11" s="74" t="s">
        <v>91</v>
      </c>
      <c r="I11" s="74" t="s">
        <v>10</v>
      </c>
      <c r="J11" s="74" t="s">
        <v>150</v>
      </c>
      <c r="K11" s="74" t="s">
        <v>4</v>
      </c>
      <c r="L11" s="74" t="s">
        <v>144</v>
      </c>
      <c r="M11" s="74" t="s">
        <v>5</v>
      </c>
      <c r="N11" s="74" t="s">
        <v>106</v>
      </c>
      <c r="O11" s="74" t="s">
        <v>112</v>
      </c>
      <c r="P11" s="74" t="s">
        <v>145</v>
      </c>
      <c r="Q11" s="74" t="s">
        <v>146</v>
      </c>
      <c r="R11" s="75" t="s">
        <v>147</v>
      </c>
      <c r="S11" s="74" t="s">
        <v>148</v>
      </c>
      <c r="T11" s="31"/>
      <c r="U11" s="31"/>
      <c r="V11" s="31"/>
      <c r="W11" s="31"/>
      <c r="X11" s="9"/>
      <c r="Y11" s="9"/>
      <c r="Z11" s="9"/>
      <c r="AA11" s="9"/>
      <c r="AB11" s="9"/>
      <c r="AC11" s="9"/>
      <c r="AD11" s="9"/>
      <c r="AE11" s="9"/>
      <c r="AF11" s="9"/>
    </row>
    <row r="12" spans="1:32" x14ac:dyDescent="0.25">
      <c r="A12" s="60" t="s">
        <v>97</v>
      </c>
      <c r="B12" s="58" t="s">
        <v>102</v>
      </c>
      <c r="C12" s="58" t="s">
        <v>117</v>
      </c>
      <c r="D12" s="58" t="s">
        <v>118</v>
      </c>
      <c r="E12" s="58" t="s">
        <v>96</v>
      </c>
      <c r="F12" s="58" t="s">
        <v>103</v>
      </c>
      <c r="G12" s="58"/>
      <c r="H12" s="58" t="s">
        <v>119</v>
      </c>
      <c r="I12" s="58">
        <v>-19147</v>
      </c>
      <c r="J12" s="58"/>
      <c r="K12" s="58"/>
      <c r="L12" s="58">
        <v>-19147</v>
      </c>
      <c r="M12" s="58"/>
      <c r="N12" s="58"/>
      <c r="O12" s="59"/>
      <c r="P12" s="59"/>
      <c r="Q12" s="59"/>
      <c r="R12" s="62"/>
      <c r="S12" s="31"/>
      <c r="T12" s="71"/>
      <c r="U12" s="71"/>
      <c r="V12" s="71"/>
      <c r="W12" s="71"/>
      <c r="X12" s="9"/>
      <c r="Y12" s="9"/>
      <c r="Z12" s="9"/>
      <c r="AA12" s="9"/>
      <c r="AB12" s="9"/>
      <c r="AC12" s="9"/>
      <c r="AD12" s="9"/>
      <c r="AE12" s="9"/>
      <c r="AF12" s="9"/>
    </row>
    <row r="13" spans="1:32" x14ac:dyDescent="0.25">
      <c r="A13" s="61" t="s">
        <v>97</v>
      </c>
      <c r="B13" s="59" t="s">
        <v>111</v>
      </c>
      <c r="C13" s="59" t="s">
        <v>120</v>
      </c>
      <c r="D13" s="59" t="s">
        <v>118</v>
      </c>
      <c r="E13" s="59" t="s">
        <v>115</v>
      </c>
      <c r="F13" s="59"/>
      <c r="G13" s="59"/>
      <c r="H13" s="59" t="s">
        <v>121</v>
      </c>
      <c r="I13" s="59">
        <v>-519767</v>
      </c>
      <c r="J13" s="59"/>
      <c r="K13" s="59">
        <v>-519767</v>
      </c>
      <c r="L13" s="59"/>
      <c r="M13" s="59"/>
      <c r="N13" s="59"/>
      <c r="O13" s="59"/>
      <c r="P13" s="59"/>
      <c r="Q13" s="59"/>
      <c r="R13" s="62"/>
      <c r="S13" s="31"/>
      <c r="T13" s="71"/>
      <c r="U13" s="71"/>
      <c r="V13" s="71"/>
      <c r="W13" s="71"/>
      <c r="X13" s="9"/>
      <c r="Y13" s="9"/>
      <c r="Z13" s="9"/>
      <c r="AA13" s="9"/>
      <c r="AB13" s="9"/>
      <c r="AC13" s="9"/>
      <c r="AD13" s="9"/>
      <c r="AE13" s="9"/>
      <c r="AF13" s="9"/>
    </row>
    <row r="14" spans="1:32" x14ac:dyDescent="0.25">
      <c r="A14" s="61" t="s">
        <v>97</v>
      </c>
      <c r="B14" s="59" t="s">
        <v>111</v>
      </c>
      <c r="C14" s="59" t="s">
        <v>122</v>
      </c>
      <c r="D14" s="59" t="s">
        <v>118</v>
      </c>
      <c r="E14" s="59" t="s">
        <v>115</v>
      </c>
      <c r="F14" s="59" t="s">
        <v>98</v>
      </c>
      <c r="G14" s="59"/>
      <c r="H14" s="59" t="s">
        <v>123</v>
      </c>
      <c r="I14" s="59">
        <v>-302770</v>
      </c>
      <c r="J14" s="59"/>
      <c r="K14" s="59"/>
      <c r="L14" s="59"/>
      <c r="M14" s="59"/>
      <c r="N14" s="59"/>
      <c r="O14" s="59"/>
      <c r="P14" s="59">
        <v>-302770</v>
      </c>
      <c r="Q14" s="59"/>
      <c r="R14" s="62"/>
      <c r="S14" s="31"/>
      <c r="T14" s="71"/>
      <c r="U14" s="71"/>
      <c r="V14" s="71"/>
      <c r="W14" s="71"/>
      <c r="X14" s="9"/>
      <c r="Y14" s="9"/>
      <c r="Z14" s="9"/>
      <c r="AA14" s="9"/>
      <c r="AB14" s="9"/>
      <c r="AC14" s="9"/>
      <c r="AD14" s="9"/>
      <c r="AE14" s="9"/>
      <c r="AF14" s="9"/>
    </row>
    <row r="15" spans="1:32" x14ac:dyDescent="0.25">
      <c r="A15" s="61" t="s">
        <v>100</v>
      </c>
      <c r="B15" s="59" t="s">
        <v>94</v>
      </c>
      <c r="C15" s="59" t="s">
        <v>124</v>
      </c>
      <c r="D15" s="59" t="s">
        <v>118</v>
      </c>
      <c r="E15" s="59" t="s">
        <v>115</v>
      </c>
      <c r="F15" s="59" t="s">
        <v>105</v>
      </c>
      <c r="G15" s="59"/>
      <c r="H15" s="59" t="s">
        <v>125</v>
      </c>
      <c r="I15" s="59">
        <v>-165341</v>
      </c>
      <c r="J15" s="59"/>
      <c r="K15" s="59">
        <v>-165341</v>
      </c>
      <c r="L15" s="59"/>
      <c r="M15" s="59"/>
      <c r="N15" s="59"/>
      <c r="O15" s="59"/>
      <c r="P15" s="59"/>
      <c r="Q15" s="59"/>
      <c r="R15" s="62"/>
      <c r="S15" s="31"/>
      <c r="T15" s="71"/>
      <c r="U15" s="71"/>
      <c r="V15" s="71"/>
      <c r="W15" s="71"/>
      <c r="X15" s="9"/>
      <c r="Y15" s="9"/>
      <c r="Z15" s="9"/>
      <c r="AA15" s="9"/>
      <c r="AB15" s="9"/>
      <c r="AC15" s="9"/>
      <c r="AD15" s="9"/>
      <c r="AE15" s="9"/>
      <c r="AF15" s="9"/>
    </row>
    <row r="16" spans="1:32" x14ac:dyDescent="0.25">
      <c r="A16" s="61" t="s">
        <v>100</v>
      </c>
      <c r="B16" s="59" t="s">
        <v>111</v>
      </c>
      <c r="C16" s="59" t="s">
        <v>122</v>
      </c>
      <c r="D16" s="59" t="s">
        <v>118</v>
      </c>
      <c r="E16" s="59" t="s">
        <v>115</v>
      </c>
      <c r="F16" s="59" t="s">
        <v>98</v>
      </c>
      <c r="G16" s="59"/>
      <c r="H16" s="59" t="s">
        <v>126</v>
      </c>
      <c r="I16" s="59">
        <v>-302770</v>
      </c>
      <c r="J16" s="59"/>
      <c r="K16" s="59"/>
      <c r="L16" s="59"/>
      <c r="M16" s="59"/>
      <c r="N16" s="59"/>
      <c r="O16" s="59"/>
      <c r="P16" s="59">
        <v>-302770</v>
      </c>
      <c r="Q16" s="59"/>
      <c r="R16" s="62"/>
      <c r="S16" s="31"/>
      <c r="T16" s="71"/>
      <c r="U16" s="71"/>
      <c r="V16" s="71"/>
      <c r="W16" s="71"/>
      <c r="X16" s="9"/>
      <c r="Y16" s="9"/>
      <c r="Z16" s="9"/>
      <c r="AA16" s="9"/>
      <c r="AB16" s="9"/>
      <c r="AC16" s="9"/>
      <c r="AD16" s="9"/>
      <c r="AE16" s="9"/>
      <c r="AF16" s="9"/>
    </row>
    <row r="17" spans="1:32" x14ac:dyDescent="0.25">
      <c r="A17" s="63" t="s">
        <v>99</v>
      </c>
      <c r="B17" s="64" t="s">
        <v>94</v>
      </c>
      <c r="C17" s="64" t="s">
        <v>127</v>
      </c>
      <c r="D17" s="64" t="s">
        <v>118</v>
      </c>
      <c r="E17" s="64" t="s">
        <v>96</v>
      </c>
      <c r="F17" s="64" t="s">
        <v>128</v>
      </c>
      <c r="G17" s="64"/>
      <c r="H17" s="64" t="s">
        <v>129</v>
      </c>
      <c r="I17" s="64">
        <v>-100256</v>
      </c>
      <c r="J17" s="64"/>
      <c r="K17" s="64">
        <v>-100256</v>
      </c>
      <c r="L17" s="64"/>
      <c r="M17" s="64"/>
      <c r="N17" s="64"/>
      <c r="O17" s="64"/>
      <c r="P17" s="64"/>
      <c r="Q17" s="64"/>
      <c r="R17" s="65"/>
      <c r="S17" s="31"/>
      <c r="T17" s="71"/>
      <c r="U17" s="71"/>
      <c r="V17" s="71"/>
      <c r="W17" s="71"/>
      <c r="X17" s="9"/>
      <c r="Y17" s="9"/>
      <c r="Z17" s="9"/>
      <c r="AA17" s="9"/>
      <c r="AB17" s="9"/>
      <c r="AC17" s="9"/>
      <c r="AD17" s="9"/>
      <c r="AE17" s="9"/>
      <c r="AF17" s="9"/>
    </row>
    <row r="18" spans="1:32" x14ac:dyDescent="0.25">
      <c r="A18" s="89" t="s">
        <v>99</v>
      </c>
      <c r="B18" s="90" t="s">
        <v>111</v>
      </c>
      <c r="C18" s="90" t="s">
        <v>122</v>
      </c>
      <c r="D18" s="90" t="s">
        <v>118</v>
      </c>
      <c r="E18" s="90" t="s">
        <v>115</v>
      </c>
      <c r="F18" s="90" t="s">
        <v>98</v>
      </c>
      <c r="G18" s="90"/>
      <c r="H18" s="90" t="s">
        <v>130</v>
      </c>
      <c r="I18" s="90">
        <v>-302770</v>
      </c>
      <c r="J18" s="90"/>
      <c r="K18" s="90"/>
      <c r="L18" s="90"/>
      <c r="M18" s="90"/>
      <c r="N18" s="90"/>
      <c r="O18" s="90"/>
      <c r="P18" s="90">
        <v>-302770</v>
      </c>
      <c r="Q18" s="90"/>
      <c r="R18" s="91"/>
      <c r="S18" s="31"/>
      <c r="T18" s="71"/>
      <c r="U18" s="71"/>
      <c r="V18" s="71"/>
      <c r="W18" s="71"/>
      <c r="X18" s="9"/>
      <c r="Y18" s="9"/>
      <c r="Z18" s="9"/>
      <c r="AA18" s="9"/>
      <c r="AB18" s="9"/>
      <c r="AC18" s="9"/>
      <c r="AD18" s="9"/>
      <c r="AE18" s="9"/>
      <c r="AF18" s="9"/>
    </row>
    <row r="19" spans="1:32" x14ac:dyDescent="0.25">
      <c r="A19" s="103" t="s">
        <v>104</v>
      </c>
      <c r="B19" s="105" t="s">
        <v>94</v>
      </c>
      <c r="C19" s="105" t="s">
        <v>131</v>
      </c>
      <c r="D19" s="105" t="s">
        <v>118</v>
      </c>
      <c r="E19" s="105" t="s">
        <v>96</v>
      </c>
      <c r="F19" s="105" t="s">
        <v>105</v>
      </c>
      <c r="G19" s="105" t="s">
        <v>132</v>
      </c>
      <c r="H19" s="105" t="s">
        <v>129</v>
      </c>
      <c r="I19" s="105">
        <v>-534762</v>
      </c>
      <c r="J19" s="105"/>
      <c r="K19" s="105">
        <v>-534762</v>
      </c>
      <c r="L19" s="105"/>
      <c r="M19" s="105"/>
      <c r="N19" s="105"/>
      <c r="O19" s="105"/>
      <c r="P19" s="105"/>
      <c r="Q19" s="105"/>
      <c r="R19" s="107"/>
      <c r="S19" s="31"/>
      <c r="T19" s="71"/>
      <c r="U19" s="71"/>
      <c r="V19" s="71"/>
      <c r="W19" s="71"/>
      <c r="AB19" s="9"/>
      <c r="AC19" s="9"/>
      <c r="AD19" s="9"/>
      <c r="AE19" s="9"/>
      <c r="AF19" s="9"/>
    </row>
    <row r="20" spans="1:32" x14ac:dyDescent="0.25">
      <c r="A20" s="104" t="s">
        <v>104</v>
      </c>
      <c r="B20" s="106" t="s">
        <v>95</v>
      </c>
      <c r="C20" s="106" t="s">
        <v>127</v>
      </c>
      <c r="D20" s="106" t="s">
        <v>96</v>
      </c>
      <c r="E20" s="106" t="s">
        <v>118</v>
      </c>
      <c r="F20" s="106" t="s">
        <v>104</v>
      </c>
      <c r="G20" s="106"/>
      <c r="H20" s="106" t="s">
        <v>129</v>
      </c>
      <c r="I20" s="106">
        <v>85256</v>
      </c>
      <c r="J20" s="106"/>
      <c r="K20" s="106">
        <v>85256</v>
      </c>
      <c r="L20" s="106"/>
      <c r="M20" s="106"/>
      <c r="N20" s="106"/>
      <c r="O20" s="106"/>
      <c r="P20" s="106"/>
      <c r="Q20" s="106"/>
      <c r="R20" s="108"/>
      <c r="S20" s="31"/>
      <c r="T20" s="71"/>
      <c r="U20" s="71"/>
      <c r="V20" s="71"/>
      <c r="W20" s="71"/>
      <c r="X20" s="72"/>
      <c r="Y20" s="72"/>
      <c r="Z20" s="72"/>
      <c r="AA20" s="72"/>
      <c r="AB20" s="9"/>
      <c r="AC20" s="9"/>
      <c r="AD20" s="9"/>
      <c r="AE20" s="9"/>
      <c r="AF20" s="9"/>
    </row>
    <row r="21" spans="1:32" x14ac:dyDescent="0.25">
      <c r="A21" s="110" t="s">
        <v>104</v>
      </c>
      <c r="B21" s="111" t="s">
        <v>111</v>
      </c>
      <c r="C21" s="111" t="s">
        <v>122</v>
      </c>
      <c r="D21" s="111" t="s">
        <v>118</v>
      </c>
      <c r="E21" s="111" t="s">
        <v>115</v>
      </c>
      <c r="F21" s="111" t="s">
        <v>98</v>
      </c>
      <c r="G21" s="111"/>
      <c r="H21" s="111" t="s">
        <v>133</v>
      </c>
      <c r="I21" s="111">
        <v>-302770</v>
      </c>
      <c r="J21" s="111"/>
      <c r="K21" s="111"/>
      <c r="L21" s="111"/>
      <c r="M21" s="111"/>
      <c r="N21" s="111"/>
      <c r="O21" s="111"/>
      <c r="P21" s="111">
        <v>-302770</v>
      </c>
      <c r="Q21" s="111"/>
      <c r="R21" s="112"/>
      <c r="S21" s="31"/>
      <c r="T21" s="71"/>
      <c r="U21" s="71"/>
      <c r="V21" s="71"/>
      <c r="W21" s="71"/>
      <c r="AB21" s="9"/>
      <c r="AC21" s="9"/>
      <c r="AD21" s="9"/>
      <c r="AE21" s="9"/>
      <c r="AF21" s="9"/>
    </row>
    <row r="22" spans="1:32" x14ac:dyDescent="0.25">
      <c r="A22" s="113" t="s">
        <v>105</v>
      </c>
      <c r="B22" s="114" t="s">
        <v>94</v>
      </c>
      <c r="C22" s="114" t="s">
        <v>155</v>
      </c>
      <c r="D22" s="114" t="s">
        <v>118</v>
      </c>
      <c r="E22" s="114" t="s">
        <v>96</v>
      </c>
      <c r="F22" s="114" t="s">
        <v>98</v>
      </c>
      <c r="G22" s="114" t="s">
        <v>156</v>
      </c>
      <c r="H22" s="114" t="s">
        <v>154</v>
      </c>
      <c r="I22" s="114">
        <v>-50000</v>
      </c>
      <c r="J22" s="114"/>
      <c r="K22" s="114">
        <v>-50000</v>
      </c>
      <c r="L22" s="114"/>
      <c r="M22" s="114"/>
      <c r="N22" s="114"/>
      <c r="O22" s="114"/>
      <c r="P22" s="114"/>
      <c r="Q22" s="114"/>
      <c r="R22" s="115"/>
      <c r="S22" s="31"/>
      <c r="T22" s="71"/>
      <c r="U22" s="71"/>
      <c r="V22" s="71"/>
      <c r="W22" s="71"/>
      <c r="AB22" s="9"/>
      <c r="AC22" s="9"/>
      <c r="AD22" s="9"/>
      <c r="AE22" s="9"/>
      <c r="AF22" s="9"/>
    </row>
    <row r="23" spans="1:32" x14ac:dyDescent="0.25">
      <c r="A23" s="116" t="s">
        <v>105</v>
      </c>
      <c r="B23" s="118" t="s">
        <v>94</v>
      </c>
      <c r="C23" s="118" t="s">
        <v>157</v>
      </c>
      <c r="D23" s="118" t="s">
        <v>118</v>
      </c>
      <c r="E23" s="118" t="s">
        <v>96</v>
      </c>
      <c r="F23" s="118" t="s">
        <v>116</v>
      </c>
      <c r="G23" s="118" t="s">
        <v>159</v>
      </c>
      <c r="H23" s="118" t="s">
        <v>154</v>
      </c>
      <c r="I23" s="118">
        <v>-160000</v>
      </c>
      <c r="J23" s="118"/>
      <c r="K23" s="118">
        <v>-160000</v>
      </c>
      <c r="L23" s="118"/>
      <c r="M23" s="118"/>
      <c r="N23" s="118"/>
      <c r="O23" s="118"/>
      <c r="P23" s="118"/>
      <c r="Q23" s="118"/>
      <c r="R23" s="120"/>
      <c r="S23" s="31"/>
      <c r="T23" s="71"/>
      <c r="U23" s="71"/>
      <c r="V23" s="71"/>
      <c r="W23" s="71"/>
      <c r="AB23" s="9"/>
      <c r="AC23" s="9"/>
      <c r="AD23" s="9"/>
      <c r="AE23" s="9"/>
      <c r="AF23" s="9"/>
    </row>
    <row r="24" spans="1:32" x14ac:dyDescent="0.25">
      <c r="A24" s="117" t="s">
        <v>105</v>
      </c>
      <c r="B24" s="119" t="s">
        <v>94</v>
      </c>
      <c r="C24" s="119" t="s">
        <v>157</v>
      </c>
      <c r="D24" s="119" t="s">
        <v>118</v>
      </c>
      <c r="E24" s="119" t="s">
        <v>96</v>
      </c>
      <c r="F24" s="119" t="s">
        <v>160</v>
      </c>
      <c r="G24" s="119" t="s">
        <v>158</v>
      </c>
      <c r="H24" s="119" t="s">
        <v>154</v>
      </c>
      <c r="I24" s="119">
        <v>-101268</v>
      </c>
      <c r="J24" s="119"/>
      <c r="K24" s="119">
        <v>-101268</v>
      </c>
      <c r="L24" s="119"/>
      <c r="M24" s="119"/>
      <c r="N24" s="119"/>
      <c r="O24" s="119"/>
      <c r="P24" s="119"/>
      <c r="Q24" s="119"/>
      <c r="R24" s="121"/>
      <c r="S24" s="31"/>
      <c r="T24" s="71"/>
      <c r="U24" s="71"/>
      <c r="V24" s="71"/>
      <c r="W24" s="71"/>
      <c r="AB24" s="9"/>
      <c r="AC24" s="9"/>
      <c r="AD24" s="9"/>
      <c r="AE24" s="9"/>
      <c r="AF24" s="9"/>
    </row>
    <row r="25" spans="1:32" x14ac:dyDescent="0.25">
      <c r="A25" s="25" t="s">
        <v>105</v>
      </c>
      <c r="B25" s="25" t="s">
        <v>94</v>
      </c>
      <c r="C25" s="25" t="s">
        <v>161</v>
      </c>
      <c r="D25" s="25" t="s">
        <v>118</v>
      </c>
      <c r="E25" s="25" t="s">
        <v>96</v>
      </c>
      <c r="F25" s="25" t="s">
        <v>98</v>
      </c>
      <c r="G25" s="25" t="s">
        <v>153</v>
      </c>
      <c r="H25" s="25" t="s">
        <v>154</v>
      </c>
      <c r="I25" s="25">
        <v>-191140</v>
      </c>
      <c r="K25" s="25">
        <v>-191140</v>
      </c>
      <c r="T25" s="71"/>
      <c r="U25" s="71"/>
      <c r="V25" s="71"/>
      <c r="W25" s="71"/>
      <c r="AB25" s="9"/>
      <c r="AC25" s="9"/>
      <c r="AD25" s="9"/>
      <c r="AE25" s="9"/>
      <c r="AF25" s="9"/>
    </row>
    <row r="26" spans="1:32" x14ac:dyDescent="0.25">
      <c r="A26" s="25" t="s">
        <v>105</v>
      </c>
      <c r="B26" s="25" t="s">
        <v>95</v>
      </c>
      <c r="C26" s="25" t="s">
        <v>124</v>
      </c>
      <c r="D26" s="25" t="s">
        <v>115</v>
      </c>
      <c r="E26" s="25" t="s">
        <v>118</v>
      </c>
      <c r="F26" s="25" t="s">
        <v>105</v>
      </c>
      <c r="H26" s="25" t="s">
        <v>125</v>
      </c>
      <c r="I26" s="25">
        <v>165341</v>
      </c>
      <c r="K26" s="25">
        <v>165341</v>
      </c>
      <c r="T26" s="71"/>
      <c r="U26" s="71"/>
      <c r="V26" s="71"/>
      <c r="W26" s="71"/>
      <c r="AB26" s="9"/>
      <c r="AC26" s="9"/>
      <c r="AD26" s="9"/>
      <c r="AE26" s="9"/>
      <c r="AF26" s="9"/>
    </row>
    <row r="27" spans="1:32" x14ac:dyDescent="0.25">
      <c r="A27" s="25" t="s">
        <v>105</v>
      </c>
      <c r="B27" s="25" t="s">
        <v>95</v>
      </c>
      <c r="C27" s="25" t="s">
        <v>127</v>
      </c>
      <c r="D27" s="25" t="s">
        <v>96</v>
      </c>
      <c r="E27" s="25" t="s">
        <v>118</v>
      </c>
      <c r="F27" s="25" t="s">
        <v>105</v>
      </c>
      <c r="H27" s="25" t="s">
        <v>129</v>
      </c>
      <c r="I27" s="25">
        <v>15000</v>
      </c>
      <c r="K27" s="25">
        <v>15000</v>
      </c>
      <c r="T27" s="71"/>
      <c r="U27" s="71"/>
      <c r="V27" s="71"/>
      <c r="W27" s="71"/>
      <c r="AB27" s="9"/>
      <c r="AC27" s="9"/>
      <c r="AD27" s="9"/>
      <c r="AE27" s="9"/>
      <c r="AF27" s="9"/>
    </row>
    <row r="28" spans="1:32" x14ac:dyDescent="0.25">
      <c r="A28" s="158" t="s">
        <v>105</v>
      </c>
      <c r="B28" s="158" t="s">
        <v>95</v>
      </c>
      <c r="C28" s="158" t="s">
        <v>131</v>
      </c>
      <c r="D28" s="158" t="s">
        <v>96</v>
      </c>
      <c r="E28" s="158" t="s">
        <v>118</v>
      </c>
      <c r="F28" s="158" t="s">
        <v>105</v>
      </c>
      <c r="G28" s="158" t="s">
        <v>132</v>
      </c>
      <c r="H28" s="158" t="s">
        <v>129</v>
      </c>
      <c r="I28" s="158">
        <v>534762</v>
      </c>
      <c r="J28" s="158"/>
      <c r="K28" s="158">
        <v>534762</v>
      </c>
      <c r="L28" s="158"/>
      <c r="M28" s="158"/>
      <c r="N28" s="158"/>
      <c r="O28" s="158"/>
      <c r="P28" s="158"/>
      <c r="Q28" s="158"/>
      <c r="R28" s="158"/>
      <c r="S28" s="158"/>
      <c r="U28" s="122"/>
      <c r="V28" s="124"/>
      <c r="W28" s="71"/>
      <c r="X28" s="71"/>
      <c r="Y28" s="71"/>
      <c r="Z28" s="71"/>
      <c r="AE28" s="9"/>
      <c r="AF28" s="9"/>
    </row>
    <row r="29" spans="1:32" x14ac:dyDescent="0.25">
      <c r="A29" s="158" t="s">
        <v>105</v>
      </c>
      <c r="B29" s="158" t="s">
        <v>111</v>
      </c>
      <c r="C29" s="158" t="s">
        <v>122</v>
      </c>
      <c r="D29" s="158" t="s">
        <v>118</v>
      </c>
      <c r="E29" s="158" t="s">
        <v>115</v>
      </c>
      <c r="F29" s="158" t="s">
        <v>116</v>
      </c>
      <c r="G29" s="158"/>
      <c r="H29" s="158" t="s">
        <v>134</v>
      </c>
      <c r="I29" s="158">
        <v>-302770</v>
      </c>
      <c r="J29" s="158"/>
      <c r="K29" s="158"/>
      <c r="L29" s="158"/>
      <c r="M29" s="158"/>
      <c r="N29" s="158"/>
      <c r="O29" s="158"/>
      <c r="P29" s="158">
        <v>-302770</v>
      </c>
      <c r="Q29" s="158"/>
      <c r="R29" s="158"/>
      <c r="S29" s="158"/>
      <c r="T29" s="71"/>
      <c r="U29" s="71"/>
      <c r="V29" s="71"/>
      <c r="W29" s="71"/>
      <c r="AB29" s="9"/>
      <c r="AC29" s="9"/>
      <c r="AD29" s="9"/>
      <c r="AE29" s="9"/>
      <c r="AF29" s="9"/>
    </row>
    <row r="30" spans="1:32" x14ac:dyDescent="0.25">
      <c r="A30" s="158" t="s">
        <v>98</v>
      </c>
      <c r="B30" s="158" t="s">
        <v>95</v>
      </c>
      <c r="C30" s="158" t="s">
        <v>155</v>
      </c>
      <c r="D30" s="158" t="s">
        <v>96</v>
      </c>
      <c r="E30" s="158" t="s">
        <v>118</v>
      </c>
      <c r="F30" s="158" t="s">
        <v>98</v>
      </c>
      <c r="G30" s="158" t="s">
        <v>156</v>
      </c>
      <c r="H30" s="158" t="s">
        <v>154</v>
      </c>
      <c r="I30" s="158">
        <v>50000</v>
      </c>
      <c r="J30" s="158"/>
      <c r="K30" s="158"/>
      <c r="L30" s="158"/>
      <c r="M30" s="158"/>
      <c r="N30" s="158"/>
      <c r="O30" s="158">
        <v>50000</v>
      </c>
      <c r="P30" s="158"/>
      <c r="Q30" s="158"/>
      <c r="R30" s="158"/>
      <c r="S30" s="158"/>
      <c r="U30" s="122"/>
      <c r="V30" s="124"/>
      <c r="W30" s="71"/>
      <c r="X30" s="71"/>
      <c r="Y30" s="71"/>
      <c r="Z30" s="71"/>
      <c r="AE30" s="9"/>
      <c r="AF30" s="9"/>
    </row>
    <row r="31" spans="1:32" x14ac:dyDescent="0.25">
      <c r="A31" s="158" t="s">
        <v>98</v>
      </c>
      <c r="B31" s="158" t="s">
        <v>95</v>
      </c>
      <c r="C31" s="158" t="s">
        <v>161</v>
      </c>
      <c r="D31" s="158" t="s">
        <v>96</v>
      </c>
      <c r="E31" s="158" t="s">
        <v>118</v>
      </c>
      <c r="F31" s="158" t="s">
        <v>98</v>
      </c>
      <c r="G31" s="158" t="s">
        <v>153</v>
      </c>
      <c r="H31" s="158" t="s">
        <v>154</v>
      </c>
      <c r="I31" s="158">
        <v>191140</v>
      </c>
      <c r="J31" s="158"/>
      <c r="K31" s="158"/>
      <c r="L31" s="158"/>
      <c r="M31" s="158"/>
      <c r="N31" s="158"/>
      <c r="O31" s="158">
        <v>191140</v>
      </c>
      <c r="P31" s="158"/>
      <c r="Q31" s="158"/>
      <c r="R31" s="158"/>
      <c r="S31" s="158"/>
      <c r="T31" s="71"/>
      <c r="U31" s="71"/>
      <c r="V31" s="71"/>
      <c r="W31" s="71"/>
      <c r="AB31" s="9"/>
      <c r="AC31" s="9"/>
      <c r="AD31" s="9"/>
      <c r="AE31" s="9"/>
      <c r="AF31" s="9"/>
    </row>
    <row r="32" spans="1:32" x14ac:dyDescent="0.25">
      <c r="A32" s="158" t="s">
        <v>98</v>
      </c>
      <c r="B32" s="158" t="s">
        <v>111</v>
      </c>
      <c r="C32" s="158" t="s">
        <v>122</v>
      </c>
      <c r="D32" s="158" t="s">
        <v>118</v>
      </c>
      <c r="E32" s="158" t="s">
        <v>115</v>
      </c>
      <c r="F32" s="158" t="s">
        <v>116</v>
      </c>
      <c r="G32" s="158"/>
      <c r="H32" s="158" t="s">
        <v>135</v>
      </c>
      <c r="I32" s="158">
        <v>-302770</v>
      </c>
      <c r="J32" s="158"/>
      <c r="K32" s="158"/>
      <c r="L32" s="158"/>
      <c r="M32" s="158"/>
      <c r="N32" s="158"/>
      <c r="O32" s="158">
        <v>-302770</v>
      </c>
      <c r="P32" s="158"/>
      <c r="Q32" s="158"/>
      <c r="R32" s="158"/>
      <c r="S32" s="158"/>
      <c r="T32" s="71"/>
      <c r="U32" s="71"/>
      <c r="V32" s="71"/>
      <c r="W32" s="71"/>
      <c r="AB32" s="9"/>
      <c r="AC32" s="9"/>
      <c r="AD32" s="9"/>
      <c r="AE32" s="9"/>
      <c r="AF32" s="9"/>
    </row>
    <row r="33" spans="1:32" x14ac:dyDescent="0.25">
      <c r="A33" s="158" t="s">
        <v>116</v>
      </c>
      <c r="B33" s="158" t="s">
        <v>95</v>
      </c>
      <c r="C33" s="158" t="s">
        <v>157</v>
      </c>
      <c r="D33" s="158" t="s">
        <v>96</v>
      </c>
      <c r="E33" s="158" t="s">
        <v>118</v>
      </c>
      <c r="F33" s="158" t="s">
        <v>116</v>
      </c>
      <c r="G33" s="158" t="s">
        <v>159</v>
      </c>
      <c r="H33" s="158" t="s">
        <v>154</v>
      </c>
      <c r="I33" s="158">
        <v>160000</v>
      </c>
      <c r="J33" s="158"/>
      <c r="K33" s="158"/>
      <c r="L33" s="158"/>
      <c r="M33" s="158"/>
      <c r="N33" s="158"/>
      <c r="O33" s="158"/>
      <c r="P33" s="158">
        <v>160000</v>
      </c>
      <c r="Q33" s="158"/>
      <c r="R33" s="158"/>
      <c r="S33" s="158"/>
      <c r="U33" s="122"/>
      <c r="V33" s="124"/>
      <c r="W33" s="71"/>
      <c r="X33" s="71"/>
      <c r="Y33" s="71"/>
      <c r="Z33" s="71"/>
      <c r="AE33" s="9"/>
      <c r="AF33" s="9"/>
    </row>
    <row r="34" spans="1:32" x14ac:dyDescent="0.25">
      <c r="A34" s="158" t="s">
        <v>116</v>
      </c>
      <c r="B34" s="158" t="s">
        <v>111</v>
      </c>
      <c r="C34" s="158" t="s">
        <v>122</v>
      </c>
      <c r="D34" s="158" t="s">
        <v>118</v>
      </c>
      <c r="E34" s="158" t="s">
        <v>115</v>
      </c>
      <c r="F34" s="158" t="s">
        <v>116</v>
      </c>
      <c r="G34" s="158"/>
      <c r="H34" s="158" t="s">
        <v>136</v>
      </c>
      <c r="I34" s="158">
        <v>-302770</v>
      </c>
      <c r="J34" s="158"/>
      <c r="K34" s="158"/>
      <c r="L34" s="158"/>
      <c r="M34" s="158"/>
      <c r="N34" s="158"/>
      <c r="O34" s="158">
        <v>-302770</v>
      </c>
      <c r="P34" s="158"/>
      <c r="Q34" s="158"/>
      <c r="R34" s="158"/>
      <c r="S34" s="158"/>
      <c r="T34" s="71"/>
      <c r="U34" s="71"/>
      <c r="V34" s="71"/>
      <c r="W34" s="71"/>
      <c r="AB34" s="9"/>
      <c r="AC34" s="9"/>
      <c r="AD34" s="9"/>
      <c r="AE34" s="9"/>
      <c r="AF34" s="9"/>
    </row>
    <row r="35" spans="1:32" x14ac:dyDescent="0.25">
      <c r="A35" s="158" t="s">
        <v>160</v>
      </c>
      <c r="B35" s="158" t="s">
        <v>95</v>
      </c>
      <c r="C35" s="158" t="s">
        <v>157</v>
      </c>
      <c r="D35" s="158" t="s">
        <v>96</v>
      </c>
      <c r="E35" s="158" t="s">
        <v>118</v>
      </c>
      <c r="F35" s="158" t="s">
        <v>160</v>
      </c>
      <c r="G35" s="158" t="s">
        <v>158</v>
      </c>
      <c r="H35" s="158" t="s">
        <v>154</v>
      </c>
      <c r="I35" s="158">
        <v>101268</v>
      </c>
      <c r="J35" s="158"/>
      <c r="K35" s="158"/>
      <c r="L35" s="158"/>
      <c r="M35" s="158"/>
      <c r="N35" s="158"/>
      <c r="O35" s="158"/>
      <c r="P35" s="158">
        <v>101268</v>
      </c>
      <c r="Q35" s="158"/>
      <c r="R35" s="158"/>
      <c r="S35" s="158"/>
      <c r="U35" s="122"/>
      <c r="V35" s="124"/>
      <c r="W35" s="71"/>
      <c r="X35" s="71"/>
      <c r="Y35" s="71"/>
      <c r="Z35" s="71"/>
      <c r="AE35" s="9"/>
      <c r="AF35" s="9"/>
    </row>
    <row r="36" spans="1:32" ht="15.75" x14ac:dyDescent="0.25">
      <c r="A36" s="182" t="s">
        <v>80</v>
      </c>
      <c r="B36" s="182"/>
      <c r="C36" s="182"/>
      <c r="D36" s="182"/>
      <c r="E36" s="182"/>
      <c r="F36" s="182"/>
      <c r="G36" s="182"/>
      <c r="Y36" s="71"/>
      <c r="Z36" s="71"/>
      <c r="AA36" s="71"/>
      <c r="AB36" s="71"/>
    </row>
    <row r="38" spans="1:32" x14ac:dyDescent="0.25">
      <c r="A38" s="71" t="s">
        <v>43</v>
      </c>
      <c r="B38" s="71" t="s">
        <v>44</v>
      </c>
      <c r="C38" s="71" t="s">
        <v>13</v>
      </c>
      <c r="D38" s="71" t="s">
        <v>88</v>
      </c>
      <c r="E38" s="71" t="s">
        <v>89</v>
      </c>
      <c r="F38" s="71" t="s">
        <v>45</v>
      </c>
      <c r="G38" s="71" t="s">
        <v>90</v>
      </c>
      <c r="H38" s="71" t="s">
        <v>91</v>
      </c>
      <c r="I38" s="71" t="s">
        <v>10</v>
      </c>
      <c r="J38" s="71" t="s">
        <v>150</v>
      </c>
      <c r="K38" s="71" t="s">
        <v>4</v>
      </c>
      <c r="L38" s="71" t="s">
        <v>144</v>
      </c>
      <c r="M38" s="71" t="s">
        <v>5</v>
      </c>
      <c r="N38" s="71" t="s">
        <v>106</v>
      </c>
      <c r="O38" s="71" t="s">
        <v>112</v>
      </c>
      <c r="P38" s="71" t="s">
        <v>145</v>
      </c>
      <c r="Q38" s="71" t="s">
        <v>146</v>
      </c>
      <c r="R38" s="71" t="s">
        <v>147</v>
      </c>
      <c r="S38" s="71" t="s">
        <v>148</v>
      </c>
      <c r="T38" s="71"/>
      <c r="U38" s="71"/>
      <c r="V38" s="71"/>
      <c r="AE38" s="9"/>
      <c r="AF38" s="9"/>
    </row>
    <row r="39" spans="1:32" x14ac:dyDescent="0.25">
      <c r="A39" s="31" t="s">
        <v>97</v>
      </c>
      <c r="B39" s="31" t="s">
        <v>102</v>
      </c>
      <c r="C39" s="31" t="s">
        <v>117</v>
      </c>
      <c r="D39" s="31" t="s">
        <v>118</v>
      </c>
      <c r="E39" s="31" t="s">
        <v>96</v>
      </c>
      <c r="F39" s="31" t="s">
        <v>103</v>
      </c>
      <c r="G39" s="31"/>
      <c r="H39" s="31" t="s">
        <v>119</v>
      </c>
      <c r="I39" s="31">
        <v>-0.59</v>
      </c>
      <c r="J39" s="31"/>
      <c r="K39" s="31"/>
      <c r="L39" s="31">
        <v>0</v>
      </c>
      <c r="M39" s="31"/>
      <c r="N39" s="31"/>
      <c r="O39" s="71"/>
      <c r="P39" s="71"/>
      <c r="Q39" s="71"/>
      <c r="R39" s="71"/>
      <c r="S39" s="31"/>
      <c r="T39" s="71"/>
      <c r="U39" s="123"/>
      <c r="V39" s="71"/>
      <c r="AE39" s="9"/>
      <c r="AF39" s="9"/>
    </row>
    <row r="40" spans="1:32" x14ac:dyDescent="0.25">
      <c r="A40" s="71" t="s">
        <v>97</v>
      </c>
      <c r="B40" s="71" t="s">
        <v>111</v>
      </c>
      <c r="C40" s="71" t="s">
        <v>120</v>
      </c>
      <c r="D40" s="71" t="s">
        <v>118</v>
      </c>
      <c r="E40" s="71" t="s">
        <v>115</v>
      </c>
      <c r="F40" s="71"/>
      <c r="G40" s="71"/>
      <c r="H40" s="71" t="s">
        <v>121</v>
      </c>
      <c r="I40" s="71">
        <v>-496377</v>
      </c>
      <c r="J40" s="71"/>
      <c r="K40" s="71">
        <v>-496377</v>
      </c>
      <c r="L40" s="71"/>
      <c r="M40" s="71"/>
      <c r="N40" s="71"/>
      <c r="O40" s="71"/>
      <c r="P40" s="71"/>
      <c r="Q40" s="71"/>
      <c r="R40" s="71"/>
      <c r="S40" s="31"/>
      <c r="T40" s="71"/>
      <c r="U40" s="123"/>
      <c r="V40" s="71"/>
      <c r="AE40" s="9"/>
      <c r="AF40" s="9"/>
    </row>
    <row r="41" spans="1:32" x14ac:dyDescent="0.25">
      <c r="A41" s="71" t="s">
        <v>97</v>
      </c>
      <c r="B41" s="71" t="s">
        <v>111</v>
      </c>
      <c r="C41" s="71" t="s">
        <v>122</v>
      </c>
      <c r="D41" s="71" t="s">
        <v>118</v>
      </c>
      <c r="E41" s="71" t="s">
        <v>115</v>
      </c>
      <c r="F41" s="71" t="s">
        <v>98</v>
      </c>
      <c r="G41" s="71"/>
      <c r="H41" s="71" t="s">
        <v>123</v>
      </c>
      <c r="I41" s="71">
        <v>-289145</v>
      </c>
      <c r="J41" s="71"/>
      <c r="K41" s="71"/>
      <c r="L41" s="71"/>
      <c r="M41" s="71"/>
      <c r="N41" s="71"/>
      <c r="O41" s="71"/>
      <c r="P41" s="71">
        <v>-289145</v>
      </c>
      <c r="Q41" s="71"/>
      <c r="R41" s="71"/>
      <c r="S41" s="31"/>
      <c r="T41" s="71"/>
      <c r="U41" s="123"/>
      <c r="V41" s="71"/>
      <c r="AE41" s="9"/>
      <c r="AF41" s="9"/>
    </row>
    <row r="42" spans="1:32" x14ac:dyDescent="0.25">
      <c r="A42" s="71" t="s">
        <v>100</v>
      </c>
      <c r="B42" s="71" t="s">
        <v>94</v>
      </c>
      <c r="C42" s="71" t="s">
        <v>124</v>
      </c>
      <c r="D42" s="71" t="s">
        <v>118</v>
      </c>
      <c r="E42" s="71" t="s">
        <v>115</v>
      </c>
      <c r="F42" s="71" t="s">
        <v>105</v>
      </c>
      <c r="G42" s="71"/>
      <c r="H42" s="71" t="s">
        <v>125</v>
      </c>
      <c r="I42" s="71">
        <v>-156743</v>
      </c>
      <c r="J42" s="71"/>
      <c r="K42" s="71">
        <v>-156743</v>
      </c>
      <c r="L42" s="71"/>
      <c r="M42" s="71"/>
      <c r="N42" s="71"/>
      <c r="O42" s="71"/>
      <c r="P42" s="71"/>
      <c r="Q42" s="71"/>
      <c r="R42" s="71"/>
      <c r="S42" s="31"/>
      <c r="T42" s="71"/>
      <c r="U42" s="123"/>
      <c r="V42" s="71"/>
      <c r="W42" s="9"/>
      <c r="X42" s="9"/>
      <c r="Y42" s="9"/>
      <c r="Z42" s="9"/>
      <c r="AA42" s="9"/>
      <c r="AB42" s="9"/>
      <c r="AC42" s="9"/>
      <c r="AD42" s="9"/>
      <c r="AE42" s="9"/>
      <c r="AF42" s="9"/>
    </row>
    <row r="43" spans="1:32" x14ac:dyDescent="0.25">
      <c r="A43" s="71" t="s">
        <v>100</v>
      </c>
      <c r="B43" s="71" t="s">
        <v>111</v>
      </c>
      <c r="C43" s="71" t="s">
        <v>122</v>
      </c>
      <c r="D43" s="71" t="s">
        <v>118</v>
      </c>
      <c r="E43" s="71" t="s">
        <v>115</v>
      </c>
      <c r="F43" s="71" t="s">
        <v>98</v>
      </c>
      <c r="G43" s="71"/>
      <c r="H43" s="71" t="s">
        <v>126</v>
      </c>
      <c r="I43" s="71">
        <v>-289145</v>
      </c>
      <c r="J43" s="71"/>
      <c r="K43" s="71"/>
      <c r="L43" s="71"/>
      <c r="M43" s="71"/>
      <c r="N43" s="71"/>
      <c r="O43" s="71"/>
      <c r="P43" s="71">
        <v>-289145</v>
      </c>
      <c r="Q43" s="71"/>
      <c r="R43" s="71"/>
      <c r="S43" s="31"/>
      <c r="T43" s="71"/>
      <c r="U43" s="123"/>
      <c r="V43" s="71"/>
      <c r="W43" s="9"/>
      <c r="X43" s="9"/>
      <c r="Y43" s="9"/>
      <c r="Z43" s="9"/>
      <c r="AA43" s="9"/>
      <c r="AB43" s="9"/>
      <c r="AC43" s="9"/>
      <c r="AD43" s="9"/>
      <c r="AE43" s="9"/>
      <c r="AF43" s="9"/>
    </row>
    <row r="44" spans="1:32" x14ac:dyDescent="0.25">
      <c r="A44" s="71" t="s">
        <v>99</v>
      </c>
      <c r="B44" s="71" t="s">
        <v>94</v>
      </c>
      <c r="C44" s="71" t="s">
        <v>127</v>
      </c>
      <c r="D44" s="71" t="s">
        <v>118</v>
      </c>
      <c r="E44" s="71" t="s">
        <v>96</v>
      </c>
      <c r="F44" s="71" t="s">
        <v>128</v>
      </c>
      <c r="G44" s="71"/>
      <c r="H44" s="71" t="s">
        <v>129</v>
      </c>
      <c r="I44" s="71">
        <v>-100256</v>
      </c>
      <c r="J44" s="71"/>
      <c r="K44" s="71">
        <v>-100256</v>
      </c>
      <c r="L44" s="71"/>
      <c r="M44" s="71"/>
      <c r="N44" s="71"/>
      <c r="O44" s="71"/>
      <c r="P44" s="71"/>
      <c r="Q44" s="71"/>
      <c r="R44" s="71"/>
      <c r="S44" s="31"/>
      <c r="T44" s="71"/>
      <c r="U44" s="123"/>
      <c r="V44" s="71"/>
      <c r="W44" s="9"/>
      <c r="X44" s="9"/>
      <c r="Y44" s="9"/>
      <c r="Z44" s="9"/>
      <c r="AA44" s="9"/>
      <c r="AB44" s="9"/>
      <c r="AC44" s="9"/>
      <c r="AD44" s="9"/>
      <c r="AE44" s="9"/>
      <c r="AF44" s="9"/>
    </row>
    <row r="45" spans="1:32" x14ac:dyDescent="0.25">
      <c r="A45" s="88" t="s">
        <v>99</v>
      </c>
      <c r="B45" s="88" t="s">
        <v>111</v>
      </c>
      <c r="C45" s="88" t="s">
        <v>122</v>
      </c>
      <c r="D45" s="88" t="s">
        <v>118</v>
      </c>
      <c r="E45" s="88" t="s">
        <v>115</v>
      </c>
      <c r="F45" s="88" t="s">
        <v>98</v>
      </c>
      <c r="G45" s="88"/>
      <c r="H45" s="88" t="s">
        <v>130</v>
      </c>
      <c r="I45" s="88">
        <v>-289145</v>
      </c>
      <c r="J45" s="88"/>
      <c r="K45" s="88"/>
      <c r="L45" s="88"/>
      <c r="M45" s="88"/>
      <c r="N45" s="88"/>
      <c r="O45" s="88"/>
      <c r="P45" s="88">
        <v>-289145</v>
      </c>
      <c r="Q45" s="88"/>
      <c r="R45" s="88"/>
      <c r="T45" s="88"/>
      <c r="U45" s="124"/>
      <c r="V45" s="88"/>
      <c r="W45" s="9"/>
      <c r="X45" s="9"/>
      <c r="Y45" s="9"/>
      <c r="Z45" s="9"/>
      <c r="AA45" s="9"/>
      <c r="AB45" s="9"/>
      <c r="AC45" s="9"/>
      <c r="AD45" s="9"/>
      <c r="AE45" s="9"/>
      <c r="AF45" s="9"/>
    </row>
    <row r="46" spans="1:32" x14ac:dyDescent="0.25">
      <c r="A46" s="102" t="s">
        <v>104</v>
      </c>
      <c r="B46" s="102" t="s">
        <v>94</v>
      </c>
      <c r="C46" s="102" t="s">
        <v>131</v>
      </c>
      <c r="D46" s="102" t="s">
        <v>118</v>
      </c>
      <c r="E46" s="102" t="s">
        <v>96</v>
      </c>
      <c r="F46" s="102" t="s">
        <v>105</v>
      </c>
      <c r="G46" s="102" t="s">
        <v>132</v>
      </c>
      <c r="H46" s="102" t="s">
        <v>129</v>
      </c>
      <c r="I46" s="102">
        <v>-534762</v>
      </c>
      <c r="J46" s="102"/>
      <c r="K46" s="102">
        <v>-534762</v>
      </c>
      <c r="L46" s="102"/>
      <c r="M46" s="102"/>
      <c r="N46" s="102"/>
      <c r="O46" s="102"/>
      <c r="P46" s="102"/>
      <c r="Q46" s="102"/>
      <c r="R46" s="102"/>
      <c r="T46" s="102"/>
      <c r="U46" s="124"/>
      <c r="V46" s="102"/>
      <c r="W46" s="9"/>
      <c r="X46" s="9"/>
      <c r="Y46" s="9"/>
      <c r="Z46" s="9"/>
      <c r="AA46" s="9"/>
      <c r="AB46" s="9"/>
      <c r="AC46" s="9"/>
      <c r="AD46" s="9"/>
      <c r="AE46" s="9"/>
      <c r="AF46" s="9"/>
    </row>
    <row r="47" spans="1:32" x14ac:dyDescent="0.25">
      <c r="A47" s="102" t="s">
        <v>104</v>
      </c>
      <c r="B47" s="102" t="s">
        <v>95</v>
      </c>
      <c r="C47" s="102" t="s">
        <v>127</v>
      </c>
      <c r="D47" s="102" t="s">
        <v>96</v>
      </c>
      <c r="E47" s="102" t="s">
        <v>118</v>
      </c>
      <c r="F47" s="102" t="s">
        <v>104</v>
      </c>
      <c r="G47" s="102"/>
      <c r="H47" s="102" t="s">
        <v>129</v>
      </c>
      <c r="I47" s="102">
        <v>85256</v>
      </c>
      <c r="J47" s="102"/>
      <c r="K47" s="102">
        <v>85256</v>
      </c>
      <c r="L47" s="102"/>
      <c r="M47" s="102"/>
      <c r="N47" s="102"/>
      <c r="O47" s="102"/>
      <c r="P47" s="102"/>
      <c r="Q47" s="102"/>
      <c r="R47" s="102"/>
      <c r="T47" s="102"/>
      <c r="U47" s="124"/>
      <c r="V47" s="102"/>
      <c r="W47" s="9"/>
      <c r="X47" s="9"/>
      <c r="Y47" s="9"/>
      <c r="Z47" s="9"/>
      <c r="AA47" s="9"/>
      <c r="AB47" s="9"/>
      <c r="AC47" s="9"/>
      <c r="AD47" s="9"/>
      <c r="AE47" s="9"/>
      <c r="AF47" s="9"/>
    </row>
    <row r="48" spans="1:32" x14ac:dyDescent="0.25">
      <c r="A48" s="109" t="s">
        <v>104</v>
      </c>
      <c r="B48" s="109" t="s">
        <v>111</v>
      </c>
      <c r="C48" s="109" t="s">
        <v>122</v>
      </c>
      <c r="D48" s="109" t="s">
        <v>118</v>
      </c>
      <c r="E48" s="109" t="s">
        <v>115</v>
      </c>
      <c r="F48" s="109" t="s">
        <v>98</v>
      </c>
      <c r="G48" s="109"/>
      <c r="H48" s="109" t="s">
        <v>133</v>
      </c>
      <c r="I48" s="109">
        <v>-289145</v>
      </c>
      <c r="J48" s="109"/>
      <c r="K48" s="109"/>
      <c r="L48" s="109"/>
      <c r="M48" s="109"/>
      <c r="N48" s="109"/>
      <c r="O48" s="109"/>
      <c r="P48" s="109">
        <v>-289145</v>
      </c>
      <c r="Q48" s="109"/>
      <c r="R48" s="109"/>
      <c r="T48" s="109"/>
      <c r="U48" s="124"/>
      <c r="V48" s="109"/>
      <c r="W48" s="9"/>
      <c r="X48" s="9"/>
      <c r="Y48" s="9"/>
      <c r="Z48" s="9"/>
      <c r="AA48" s="9"/>
      <c r="AB48" s="9"/>
      <c r="AC48" s="9"/>
      <c r="AD48" s="9"/>
      <c r="AE48" s="9"/>
      <c r="AF48" s="9"/>
    </row>
    <row r="49" spans="1:32" x14ac:dyDescent="0.25">
      <c r="A49" s="109" t="s">
        <v>105</v>
      </c>
      <c r="B49" s="109" t="s">
        <v>94</v>
      </c>
      <c r="C49" s="109" t="s">
        <v>155</v>
      </c>
      <c r="D49" s="109" t="s">
        <v>118</v>
      </c>
      <c r="E49" s="109" t="s">
        <v>96</v>
      </c>
      <c r="F49" s="109" t="s">
        <v>98</v>
      </c>
      <c r="G49" s="109" t="s">
        <v>156</v>
      </c>
      <c r="H49" s="109" t="s">
        <v>154</v>
      </c>
      <c r="I49" s="109">
        <v>-50000</v>
      </c>
      <c r="J49" s="109"/>
      <c r="K49" s="109">
        <v>-50000</v>
      </c>
      <c r="L49" s="109"/>
      <c r="M49" s="109"/>
      <c r="N49" s="109"/>
      <c r="O49" s="109"/>
      <c r="P49" s="109"/>
      <c r="Q49" s="109"/>
      <c r="R49" s="109"/>
      <c r="T49" s="109"/>
      <c r="U49" s="124"/>
      <c r="V49" s="109"/>
      <c r="W49" s="9"/>
      <c r="X49" s="9"/>
      <c r="Y49" s="9"/>
      <c r="Z49" s="9"/>
      <c r="AA49" s="9"/>
      <c r="AB49" s="9"/>
      <c r="AC49" s="9"/>
      <c r="AD49" s="9"/>
      <c r="AE49" s="9"/>
      <c r="AF49" s="9"/>
    </row>
    <row r="50" spans="1:32" x14ac:dyDescent="0.25">
      <c r="A50" s="25" t="s">
        <v>105</v>
      </c>
      <c r="B50" s="25" t="s">
        <v>94</v>
      </c>
      <c r="C50" s="25" t="s">
        <v>157</v>
      </c>
      <c r="D50" s="25" t="s">
        <v>118</v>
      </c>
      <c r="E50" s="25" t="s">
        <v>96</v>
      </c>
      <c r="F50" s="25" t="s">
        <v>116</v>
      </c>
      <c r="G50" s="25" t="s">
        <v>159</v>
      </c>
      <c r="H50" s="25" t="s">
        <v>154</v>
      </c>
      <c r="I50" s="25">
        <v>-160000</v>
      </c>
      <c r="K50" s="25">
        <v>-160000</v>
      </c>
      <c r="U50" s="124"/>
      <c r="AA50" s="9"/>
      <c r="AB50" s="9"/>
      <c r="AC50" s="9"/>
      <c r="AD50" s="9"/>
      <c r="AE50" s="9"/>
      <c r="AF50" s="9"/>
    </row>
    <row r="51" spans="1:32" x14ac:dyDescent="0.25">
      <c r="A51" s="25" t="s">
        <v>105</v>
      </c>
      <c r="B51" s="25" t="s">
        <v>94</v>
      </c>
      <c r="C51" s="25" t="s">
        <v>157</v>
      </c>
      <c r="D51" s="25" t="s">
        <v>118</v>
      </c>
      <c r="E51" s="25" t="s">
        <v>96</v>
      </c>
      <c r="F51" s="25" t="s">
        <v>160</v>
      </c>
      <c r="G51" s="25" t="s">
        <v>158</v>
      </c>
      <c r="H51" s="25" t="s">
        <v>154</v>
      </c>
      <c r="I51" s="25">
        <v>-101268</v>
      </c>
      <c r="K51" s="25">
        <v>-101268</v>
      </c>
      <c r="U51" s="124"/>
      <c r="AA51" s="9"/>
      <c r="AB51" s="9"/>
      <c r="AC51" s="9"/>
      <c r="AD51" s="9"/>
      <c r="AE51" s="9"/>
      <c r="AF51" s="9"/>
    </row>
    <row r="52" spans="1:32" x14ac:dyDescent="0.25">
      <c r="A52" s="124" t="s">
        <v>105</v>
      </c>
      <c r="B52" s="124" t="s">
        <v>94</v>
      </c>
      <c r="C52" s="124" t="s">
        <v>161</v>
      </c>
      <c r="D52" s="124" t="s">
        <v>118</v>
      </c>
      <c r="E52" s="124" t="s">
        <v>96</v>
      </c>
      <c r="F52" s="124" t="s">
        <v>98</v>
      </c>
      <c r="G52" s="124" t="s">
        <v>153</v>
      </c>
      <c r="H52" s="124" t="s">
        <v>154</v>
      </c>
      <c r="I52" s="124">
        <v>-191140</v>
      </c>
      <c r="J52" s="124"/>
      <c r="K52" s="124">
        <v>-191140</v>
      </c>
      <c r="L52" s="124"/>
      <c r="M52" s="124"/>
      <c r="N52" s="124"/>
      <c r="O52" s="124"/>
      <c r="P52" s="124"/>
      <c r="Q52" s="124"/>
      <c r="R52" s="124"/>
      <c r="T52" s="124"/>
      <c r="U52" s="124"/>
      <c r="AA52" s="9"/>
      <c r="AB52" s="9"/>
      <c r="AC52" s="9"/>
      <c r="AD52" s="9"/>
      <c r="AE52" s="9"/>
      <c r="AF52" s="9"/>
    </row>
    <row r="53" spans="1:32" x14ac:dyDescent="0.25">
      <c r="A53" s="124" t="s">
        <v>105</v>
      </c>
      <c r="B53" s="124" t="s">
        <v>95</v>
      </c>
      <c r="C53" s="124" t="s">
        <v>124</v>
      </c>
      <c r="D53" s="124" t="s">
        <v>115</v>
      </c>
      <c r="E53" s="124" t="s">
        <v>118</v>
      </c>
      <c r="F53" s="124" t="s">
        <v>105</v>
      </c>
      <c r="G53" s="124"/>
      <c r="H53" s="124" t="s">
        <v>125</v>
      </c>
      <c r="I53" s="124">
        <v>156743</v>
      </c>
      <c r="J53" s="124"/>
      <c r="K53" s="124">
        <v>156743</v>
      </c>
      <c r="L53" s="124"/>
      <c r="M53" s="124"/>
      <c r="N53" s="124"/>
      <c r="O53" s="124"/>
      <c r="P53" s="124"/>
      <c r="Q53" s="124"/>
      <c r="R53" s="124"/>
      <c r="T53" s="124"/>
      <c r="U53" s="71"/>
      <c r="V53" s="71"/>
      <c r="AA53" s="9"/>
      <c r="AB53" s="9"/>
      <c r="AC53" s="9"/>
      <c r="AD53" s="9"/>
      <c r="AE53" s="9"/>
      <c r="AF53" s="9"/>
    </row>
    <row r="54" spans="1:32" x14ac:dyDescent="0.25">
      <c r="A54" s="124" t="s">
        <v>105</v>
      </c>
      <c r="B54" s="124" t="s">
        <v>95</v>
      </c>
      <c r="C54" s="124" t="s">
        <v>127</v>
      </c>
      <c r="D54" s="124" t="s">
        <v>96</v>
      </c>
      <c r="E54" s="124" t="s">
        <v>118</v>
      </c>
      <c r="F54" s="124" t="s">
        <v>105</v>
      </c>
      <c r="G54" s="124"/>
      <c r="H54" s="124" t="s">
        <v>129</v>
      </c>
      <c r="I54" s="124">
        <v>15000</v>
      </c>
      <c r="J54" s="124"/>
      <c r="K54" s="124">
        <v>15000</v>
      </c>
      <c r="L54" s="124"/>
      <c r="M54" s="124"/>
      <c r="N54" s="124"/>
      <c r="O54" s="124"/>
      <c r="P54" s="124"/>
      <c r="Q54" s="124"/>
      <c r="R54" s="124"/>
      <c r="T54" s="124"/>
      <c r="AA54" s="9"/>
      <c r="AB54" s="9"/>
      <c r="AC54" s="9"/>
      <c r="AD54" s="9"/>
      <c r="AE54" s="9"/>
      <c r="AF54" s="9"/>
    </row>
    <row r="55" spans="1:32" x14ac:dyDescent="0.25">
      <c r="A55" s="158" t="s">
        <v>105</v>
      </c>
      <c r="B55" s="158" t="s">
        <v>95</v>
      </c>
      <c r="C55" s="158" t="s">
        <v>131</v>
      </c>
      <c r="D55" s="158" t="s">
        <v>96</v>
      </c>
      <c r="E55" s="158" t="s">
        <v>118</v>
      </c>
      <c r="F55" s="158" t="s">
        <v>105</v>
      </c>
      <c r="G55" s="158" t="s">
        <v>132</v>
      </c>
      <c r="H55" s="158" t="s">
        <v>129</v>
      </c>
      <c r="I55" s="158">
        <v>534762</v>
      </c>
      <c r="J55" s="158"/>
      <c r="K55" s="158">
        <v>534762</v>
      </c>
      <c r="L55" s="158"/>
      <c r="M55" s="158"/>
      <c r="N55" s="158"/>
      <c r="O55" s="158"/>
      <c r="P55" s="158"/>
      <c r="Q55" s="158"/>
      <c r="R55" s="158"/>
      <c r="S55" s="158"/>
      <c r="T55" s="124"/>
      <c r="U55" s="124"/>
      <c r="V55" s="124"/>
      <c r="AC55" s="9"/>
      <c r="AD55" s="9"/>
      <c r="AE55" s="9"/>
      <c r="AF55" s="9"/>
    </row>
    <row r="56" spans="1:32" x14ac:dyDescent="0.25">
      <c r="A56" s="158" t="s">
        <v>105</v>
      </c>
      <c r="B56" s="158" t="s">
        <v>111</v>
      </c>
      <c r="C56" s="158" t="s">
        <v>122</v>
      </c>
      <c r="D56" s="158" t="s">
        <v>118</v>
      </c>
      <c r="E56" s="158" t="s">
        <v>115</v>
      </c>
      <c r="F56" s="158" t="s">
        <v>116</v>
      </c>
      <c r="G56" s="158"/>
      <c r="H56" s="158" t="s">
        <v>134</v>
      </c>
      <c r="I56" s="158">
        <v>-289145</v>
      </c>
      <c r="J56" s="158"/>
      <c r="K56" s="158"/>
      <c r="L56" s="158"/>
      <c r="M56" s="158"/>
      <c r="N56" s="158"/>
      <c r="O56" s="158"/>
      <c r="P56" s="158">
        <v>-289145</v>
      </c>
      <c r="Q56" s="158"/>
      <c r="R56" s="158"/>
      <c r="S56" s="158"/>
      <c r="T56" s="124"/>
      <c r="U56" s="124"/>
      <c r="V56" s="124"/>
      <c r="AC56" s="9"/>
      <c r="AD56" s="9"/>
      <c r="AE56" s="9"/>
      <c r="AF56" s="9"/>
    </row>
    <row r="57" spans="1:32" x14ac:dyDescent="0.25">
      <c r="A57" s="158" t="s">
        <v>98</v>
      </c>
      <c r="B57" s="158" t="s">
        <v>95</v>
      </c>
      <c r="C57" s="158" t="s">
        <v>155</v>
      </c>
      <c r="D57" s="158" t="s">
        <v>96</v>
      </c>
      <c r="E57" s="158" t="s">
        <v>118</v>
      </c>
      <c r="F57" s="158" t="s">
        <v>98</v>
      </c>
      <c r="G57" s="158" t="s">
        <v>156</v>
      </c>
      <c r="H57" s="158" t="s">
        <v>154</v>
      </c>
      <c r="I57" s="158">
        <v>50000</v>
      </c>
      <c r="J57" s="158"/>
      <c r="K57" s="158"/>
      <c r="L57" s="158"/>
      <c r="M57" s="158"/>
      <c r="N57" s="158"/>
      <c r="O57" s="158">
        <v>50000</v>
      </c>
      <c r="P57" s="158"/>
      <c r="Q57" s="158"/>
      <c r="R57" s="158"/>
      <c r="S57" s="158"/>
      <c r="T57" s="124"/>
      <c r="U57" s="124"/>
      <c r="V57" s="124"/>
      <c r="AC57" s="9"/>
      <c r="AD57" s="9"/>
      <c r="AE57" s="9"/>
      <c r="AF57" s="9"/>
    </row>
    <row r="58" spans="1:32" x14ac:dyDescent="0.25">
      <c r="A58" s="158" t="s">
        <v>98</v>
      </c>
      <c r="B58" s="158" t="s">
        <v>95</v>
      </c>
      <c r="C58" s="158" t="s">
        <v>161</v>
      </c>
      <c r="D58" s="158" t="s">
        <v>96</v>
      </c>
      <c r="E58" s="158" t="s">
        <v>118</v>
      </c>
      <c r="F58" s="158" t="s">
        <v>98</v>
      </c>
      <c r="G58" s="158" t="s">
        <v>153</v>
      </c>
      <c r="H58" s="158" t="s">
        <v>154</v>
      </c>
      <c r="I58" s="158">
        <v>191140</v>
      </c>
      <c r="J58" s="158"/>
      <c r="K58" s="158"/>
      <c r="L58" s="158"/>
      <c r="M58" s="158"/>
      <c r="N58" s="158"/>
      <c r="O58" s="158">
        <v>191140</v>
      </c>
      <c r="P58" s="158"/>
      <c r="Q58" s="158"/>
      <c r="R58" s="158"/>
      <c r="S58" s="158"/>
      <c r="T58" s="124"/>
      <c r="U58" s="124"/>
      <c r="V58" s="124"/>
      <c r="AC58" s="9"/>
      <c r="AD58" s="9"/>
      <c r="AE58" s="9"/>
      <c r="AF58" s="9"/>
    </row>
    <row r="59" spans="1:32" x14ac:dyDescent="0.25">
      <c r="A59" s="158" t="s">
        <v>98</v>
      </c>
      <c r="B59" s="158" t="s">
        <v>111</v>
      </c>
      <c r="C59" s="158" t="s">
        <v>122</v>
      </c>
      <c r="D59" s="158" t="s">
        <v>118</v>
      </c>
      <c r="E59" s="158" t="s">
        <v>115</v>
      </c>
      <c r="F59" s="158" t="s">
        <v>116</v>
      </c>
      <c r="G59" s="158"/>
      <c r="H59" s="158" t="s">
        <v>135</v>
      </c>
      <c r="I59" s="158">
        <v>-289145</v>
      </c>
      <c r="J59" s="158"/>
      <c r="K59" s="158"/>
      <c r="L59" s="158"/>
      <c r="M59" s="158"/>
      <c r="N59" s="158"/>
      <c r="O59" s="158">
        <v>-289145</v>
      </c>
      <c r="P59" s="158"/>
      <c r="Q59" s="158"/>
      <c r="R59" s="158"/>
      <c r="S59" s="158"/>
      <c r="T59" s="124"/>
      <c r="U59" s="124"/>
      <c r="V59" s="124"/>
      <c r="AC59" s="9"/>
      <c r="AD59" s="9"/>
      <c r="AE59" s="9"/>
      <c r="AF59" s="9"/>
    </row>
    <row r="60" spans="1:32" x14ac:dyDescent="0.25">
      <c r="A60" s="158" t="s">
        <v>116</v>
      </c>
      <c r="B60" s="158" t="s">
        <v>95</v>
      </c>
      <c r="C60" s="158" t="s">
        <v>157</v>
      </c>
      <c r="D60" s="158" t="s">
        <v>96</v>
      </c>
      <c r="E60" s="158" t="s">
        <v>118</v>
      </c>
      <c r="F60" s="158" t="s">
        <v>116</v>
      </c>
      <c r="G60" s="158" t="s">
        <v>159</v>
      </c>
      <c r="H60" s="158" t="s">
        <v>154</v>
      </c>
      <c r="I60" s="158">
        <v>160000</v>
      </c>
      <c r="J60" s="158"/>
      <c r="K60" s="158"/>
      <c r="L60" s="158"/>
      <c r="M60" s="158"/>
      <c r="N60" s="158"/>
      <c r="O60" s="158"/>
      <c r="P60" s="158">
        <v>160000</v>
      </c>
      <c r="Q60" s="158"/>
      <c r="R60" s="158"/>
      <c r="S60" s="158"/>
      <c r="T60" s="124"/>
      <c r="U60" s="124"/>
      <c r="V60" s="124"/>
      <c r="AC60" s="9"/>
      <c r="AD60" s="9"/>
      <c r="AE60" s="9"/>
      <c r="AF60" s="9"/>
    </row>
    <row r="61" spans="1:32" x14ac:dyDescent="0.25">
      <c r="A61" s="158" t="s">
        <v>116</v>
      </c>
      <c r="B61" s="158" t="s">
        <v>111</v>
      </c>
      <c r="C61" s="158" t="s">
        <v>122</v>
      </c>
      <c r="D61" s="158" t="s">
        <v>118</v>
      </c>
      <c r="E61" s="158" t="s">
        <v>115</v>
      </c>
      <c r="F61" s="158" t="s">
        <v>116</v>
      </c>
      <c r="G61" s="158"/>
      <c r="H61" s="158" t="s">
        <v>136</v>
      </c>
      <c r="I61" s="158">
        <v>-289145</v>
      </c>
      <c r="J61" s="158"/>
      <c r="K61" s="158"/>
      <c r="L61" s="158"/>
      <c r="M61" s="158"/>
      <c r="N61" s="158"/>
      <c r="O61" s="158">
        <v>-289145</v>
      </c>
      <c r="P61" s="158"/>
      <c r="Q61" s="158"/>
      <c r="R61" s="158"/>
      <c r="S61" s="158"/>
      <c r="T61" s="142"/>
      <c r="U61" s="142"/>
      <c r="V61" s="142"/>
      <c r="AC61" s="9"/>
      <c r="AD61" s="9"/>
      <c r="AE61" s="9"/>
      <c r="AF61" s="9"/>
    </row>
    <row r="62" spans="1:32" x14ac:dyDescent="0.25">
      <c r="A62" s="158" t="s">
        <v>160</v>
      </c>
      <c r="B62" s="158" t="s">
        <v>95</v>
      </c>
      <c r="C62" s="158" t="s">
        <v>157</v>
      </c>
      <c r="D62" s="158" t="s">
        <v>96</v>
      </c>
      <c r="E62" s="158" t="s">
        <v>118</v>
      </c>
      <c r="F62" s="158" t="s">
        <v>160</v>
      </c>
      <c r="G62" s="158" t="s">
        <v>158</v>
      </c>
      <c r="H62" s="158" t="s">
        <v>154</v>
      </c>
      <c r="I62" s="158">
        <v>101268</v>
      </c>
      <c r="J62" s="158"/>
      <c r="K62" s="158"/>
      <c r="L62" s="158"/>
      <c r="M62" s="158"/>
      <c r="N62" s="158"/>
      <c r="O62" s="158"/>
      <c r="P62" s="158">
        <v>101268</v>
      </c>
      <c r="Q62" s="158"/>
      <c r="R62" s="158"/>
      <c r="S62" s="158"/>
      <c r="T62" s="142"/>
      <c r="U62" s="142"/>
      <c r="V62" s="142"/>
    </row>
    <row r="63" spans="1:32" x14ac:dyDescent="0.25">
      <c r="H63" s="25"/>
    </row>
    <row r="64" spans="1:32" x14ac:dyDescent="0.25">
      <c r="H64" s="25"/>
    </row>
    <row r="65" spans="8:8" x14ac:dyDescent="0.25">
      <c r="H65" s="25"/>
    </row>
    <row r="66" spans="8:8" x14ac:dyDescent="0.25">
      <c r="H66" s="25"/>
    </row>
    <row r="67" spans="8:8" x14ac:dyDescent="0.25">
      <c r="H67" s="25"/>
    </row>
    <row r="68" spans="8:8" x14ac:dyDescent="0.25">
      <c r="H68" s="25"/>
    </row>
    <row r="69" spans="8:8" x14ac:dyDescent="0.25">
      <c r="H69" s="25"/>
    </row>
    <row r="70" spans="8:8" x14ac:dyDescent="0.25">
      <c r="H70" s="25"/>
    </row>
    <row r="71" spans="8:8" x14ac:dyDescent="0.25">
      <c r="H71" s="25"/>
    </row>
    <row r="72" spans="8:8" x14ac:dyDescent="0.25">
      <c r="H72" s="25"/>
    </row>
    <row r="73" spans="8:8" x14ac:dyDescent="0.25">
      <c r="H73" s="25"/>
    </row>
    <row r="74" spans="8:8" x14ac:dyDescent="0.25">
      <c r="H74" s="25"/>
    </row>
  </sheetData>
  <mergeCells count="5">
    <mergeCell ref="A1:F1"/>
    <mergeCell ref="A3:F3"/>
    <mergeCell ref="A9:G9"/>
    <mergeCell ref="A36:G36"/>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40.7109375" customWidth="1"/>
    <col min="4" max="4" width="15.7109375" customWidth="1"/>
    <col min="5" max="5" width="18.28515625" customWidth="1"/>
  </cols>
  <sheetData>
    <row r="1" spans="1:5" ht="14.45" x14ac:dyDescent="0.35">
      <c r="A1" s="4" t="s">
        <v>13</v>
      </c>
      <c r="B1" s="191" t="s">
        <v>14</v>
      </c>
      <c r="C1" s="191"/>
      <c r="D1" s="191"/>
      <c r="E1" s="191"/>
    </row>
    <row r="2" spans="1:5" ht="81.75" customHeight="1" x14ac:dyDescent="0.35">
      <c r="A2" s="1">
        <v>1</v>
      </c>
      <c r="B2" s="184" t="s">
        <v>16</v>
      </c>
      <c r="C2" s="184"/>
      <c r="D2" s="184"/>
      <c r="E2" s="184"/>
    </row>
    <row r="3" spans="1:5" ht="14.45" x14ac:dyDescent="0.35">
      <c r="B3" s="3"/>
      <c r="C3" s="3"/>
      <c r="D3" s="3"/>
      <c r="E3" s="3"/>
    </row>
    <row r="4" spans="1:5" ht="33" customHeight="1" x14ac:dyDescent="0.35">
      <c r="A4" s="1">
        <v>2</v>
      </c>
      <c r="B4" s="184" t="s">
        <v>17</v>
      </c>
      <c r="C4" s="184"/>
      <c r="D4" s="184"/>
      <c r="E4" s="184"/>
    </row>
    <row r="5" spans="1:5" ht="14.45" x14ac:dyDescent="0.35">
      <c r="B5" s="3"/>
      <c r="C5" s="3"/>
      <c r="D5" s="3"/>
      <c r="E5" s="3"/>
    </row>
    <row r="6" spans="1:5" s="17" customFormat="1" ht="114" customHeight="1" x14ac:dyDescent="0.25">
      <c r="A6" s="18">
        <v>3</v>
      </c>
      <c r="B6" s="185" t="s">
        <v>167</v>
      </c>
      <c r="C6" s="185"/>
      <c r="D6" s="185"/>
      <c r="E6" s="185"/>
    </row>
    <row r="7" spans="1:5" s="17" customFormat="1" ht="14.45" x14ac:dyDescent="0.35">
      <c r="A7" s="18"/>
      <c r="B7" s="19"/>
      <c r="C7" s="19"/>
      <c r="D7" s="19"/>
      <c r="E7" s="19"/>
    </row>
    <row r="8" spans="1:5" ht="18" customHeight="1" x14ac:dyDescent="0.3">
      <c r="A8" s="1">
        <v>4</v>
      </c>
      <c r="B8" s="188" t="s">
        <v>57</v>
      </c>
      <c r="C8" s="188"/>
      <c r="D8" s="8"/>
      <c r="E8" s="8"/>
    </row>
    <row r="9" spans="1:5" ht="18" customHeight="1" x14ac:dyDescent="0.3">
      <c r="B9" s="193" t="s">
        <v>168</v>
      </c>
      <c r="C9" s="193"/>
      <c r="D9" s="13">
        <v>125000</v>
      </c>
    </row>
    <row r="10" spans="1:5" ht="18" customHeight="1" x14ac:dyDescent="0.25">
      <c r="B10" s="184" t="s">
        <v>170</v>
      </c>
      <c r="C10" s="184"/>
      <c r="D10" s="12">
        <v>-31250</v>
      </c>
    </row>
    <row r="11" spans="1:5" ht="18" customHeight="1" x14ac:dyDescent="0.25">
      <c r="B11" s="193" t="s">
        <v>172</v>
      </c>
      <c r="C11" s="193"/>
      <c r="D11" s="14">
        <f>+D9+D10</f>
        <v>93750</v>
      </c>
    </row>
    <row r="12" spans="1:5" ht="31.5" customHeight="1" x14ac:dyDescent="0.25">
      <c r="B12" s="184" t="s">
        <v>171</v>
      </c>
      <c r="C12" s="184"/>
      <c r="D12" s="11">
        <v>31250</v>
      </c>
    </row>
    <row r="13" spans="1:5" ht="36.75" customHeight="1" x14ac:dyDescent="0.25">
      <c r="B13" s="193" t="s">
        <v>169</v>
      </c>
      <c r="C13" s="193"/>
      <c r="D13" s="15">
        <f>SUM(D11:D12)</f>
        <v>125000</v>
      </c>
    </row>
    <row r="14" spans="1:5" s="17" customFormat="1" ht="18" customHeight="1" x14ac:dyDescent="0.25">
      <c r="A14" s="18"/>
      <c r="B14" s="22"/>
      <c r="C14" s="22"/>
      <c r="D14" s="23"/>
    </row>
    <row r="15" spans="1:5" s="17" customFormat="1" ht="84.75" customHeight="1" x14ac:dyDescent="0.25">
      <c r="A15" s="1">
        <v>5</v>
      </c>
      <c r="B15" s="192" t="s">
        <v>58</v>
      </c>
      <c r="C15" s="192"/>
      <c r="D15" s="192"/>
      <c r="E15" s="192"/>
    </row>
    <row r="16" spans="1:5" x14ac:dyDescent="0.25">
      <c r="B16" s="3"/>
      <c r="C16" s="3"/>
      <c r="D16" s="3"/>
      <c r="E16" s="3"/>
    </row>
    <row r="17" spans="1:5" ht="14.45" customHeight="1" x14ac:dyDescent="0.25">
      <c r="A17" s="1">
        <v>6</v>
      </c>
      <c r="B17" s="184" t="s">
        <v>173</v>
      </c>
      <c r="C17" s="184"/>
      <c r="D17" s="184"/>
      <c r="E17" s="184"/>
    </row>
    <row r="18" spans="1:5" x14ac:dyDescent="0.25">
      <c r="B18" s="10"/>
      <c r="C18" s="10"/>
      <c r="D18" s="10"/>
      <c r="E18" s="10"/>
    </row>
    <row r="19" spans="1:5" ht="33" customHeight="1" x14ac:dyDescent="0.25">
      <c r="A19" s="1">
        <v>7</v>
      </c>
      <c r="B19" s="184" t="s">
        <v>37</v>
      </c>
      <c r="C19" s="184"/>
      <c r="D19" s="184"/>
      <c r="E19" s="184"/>
    </row>
    <row r="20" spans="1:5" ht="14.25" customHeight="1" x14ac:dyDescent="0.25">
      <c r="B20" s="7"/>
      <c r="C20" s="7"/>
      <c r="D20" s="7"/>
      <c r="E20" s="7"/>
    </row>
    <row r="21" spans="1:5" ht="47.25" customHeight="1" x14ac:dyDescent="0.25">
      <c r="A21" s="1">
        <v>8</v>
      </c>
      <c r="B21" s="184" t="s">
        <v>38</v>
      </c>
      <c r="C21" s="184"/>
      <c r="D21" s="184"/>
      <c r="E21" s="184"/>
    </row>
    <row r="22" spans="1:5" ht="15" customHeight="1" x14ac:dyDescent="0.25">
      <c r="B22" s="7"/>
      <c r="C22" s="7"/>
      <c r="D22" s="7"/>
      <c r="E22" s="7"/>
    </row>
    <row r="23" spans="1:5" ht="32.25" customHeight="1" x14ac:dyDescent="0.25">
      <c r="A23" s="1">
        <v>9</v>
      </c>
      <c r="B23" s="184" t="s">
        <v>36</v>
      </c>
      <c r="C23" s="184"/>
      <c r="D23" s="184"/>
      <c r="E23" s="184"/>
    </row>
    <row r="24" spans="1:5" ht="15" customHeight="1" x14ac:dyDescent="0.25">
      <c r="B24" s="7"/>
      <c r="C24" s="7"/>
      <c r="D24" s="7"/>
      <c r="E24" s="7"/>
    </row>
    <row r="25" spans="1:5" ht="33" customHeight="1" x14ac:dyDescent="0.25">
      <c r="A25" s="1">
        <v>10</v>
      </c>
      <c r="B25" s="184" t="s">
        <v>39</v>
      </c>
      <c r="C25" s="184"/>
      <c r="D25" s="184"/>
      <c r="E25" s="184"/>
    </row>
    <row r="26" spans="1:5" x14ac:dyDescent="0.25">
      <c r="B26" s="3"/>
      <c r="C26" s="3"/>
      <c r="D26" s="3"/>
      <c r="E26" s="3"/>
    </row>
    <row r="27" spans="1:5" ht="30" customHeight="1" x14ac:dyDescent="0.25">
      <c r="A27" s="1">
        <v>11</v>
      </c>
      <c r="B27" s="184" t="s">
        <v>40</v>
      </c>
      <c r="C27" s="184"/>
      <c r="D27" s="184"/>
      <c r="E27" s="184"/>
    </row>
    <row r="28" spans="1:5" x14ac:dyDescent="0.25">
      <c r="B28" s="3"/>
      <c r="C28" s="3"/>
      <c r="D28" s="3"/>
      <c r="E28" s="3"/>
    </row>
    <row r="29" spans="1:5" ht="31.5" customHeight="1" x14ac:dyDescent="0.25">
      <c r="A29" s="1">
        <v>12</v>
      </c>
      <c r="B29" s="184" t="s">
        <v>41</v>
      </c>
      <c r="C29" s="184"/>
      <c r="D29" s="184"/>
      <c r="E29" s="184"/>
    </row>
    <row r="30" spans="1:5" x14ac:dyDescent="0.25">
      <c r="B30" s="7"/>
      <c r="C30" s="7"/>
      <c r="D30" s="7"/>
      <c r="E30" s="7"/>
    </row>
    <row r="31" spans="1:5" ht="34.5" customHeight="1" x14ac:dyDescent="0.25">
      <c r="A31" s="1">
        <v>13</v>
      </c>
      <c r="B31" s="184" t="s">
        <v>18</v>
      </c>
      <c r="C31" s="184"/>
      <c r="D31" s="184"/>
      <c r="E31" s="184"/>
    </row>
    <row r="32" spans="1:5" ht="16.5" customHeight="1" x14ac:dyDescent="0.25">
      <c r="B32" s="3"/>
      <c r="C32" s="3"/>
      <c r="D32" s="3"/>
      <c r="E32" s="3"/>
    </row>
    <row r="33" spans="1:5" ht="64.5" customHeight="1" x14ac:dyDescent="0.25">
      <c r="A33" s="1">
        <v>14</v>
      </c>
      <c r="B33" s="184" t="s">
        <v>19</v>
      </c>
      <c r="C33" s="184"/>
      <c r="D33" s="184"/>
      <c r="E33" s="184"/>
    </row>
    <row r="34" spans="1:5" ht="14.25" customHeight="1" x14ac:dyDescent="0.25">
      <c r="B34" s="3"/>
      <c r="C34" s="3"/>
      <c r="D34" s="3"/>
      <c r="E34" s="3"/>
    </row>
    <row r="35" spans="1:5" x14ac:dyDescent="0.25">
      <c r="A35" s="1">
        <v>15</v>
      </c>
      <c r="B35" s="188" t="s">
        <v>33</v>
      </c>
      <c r="C35" s="188"/>
      <c r="D35" s="188"/>
      <c r="E35" s="188"/>
    </row>
    <row r="36" spans="1:5" x14ac:dyDescent="0.25">
      <c r="B36" s="16" t="s">
        <v>7</v>
      </c>
      <c r="C36" s="189" t="s">
        <v>20</v>
      </c>
      <c r="D36" s="189"/>
      <c r="E36" s="189"/>
    </row>
    <row r="37" spans="1:5" x14ac:dyDescent="0.25">
      <c r="B37" s="5" t="s">
        <v>21</v>
      </c>
      <c r="C37" s="190" t="s">
        <v>28</v>
      </c>
      <c r="D37" s="190"/>
      <c r="E37" s="190"/>
    </row>
    <row r="38" spans="1:5" x14ac:dyDescent="0.25">
      <c r="B38" s="16" t="s">
        <v>22</v>
      </c>
      <c r="C38" s="189" t="s">
        <v>29</v>
      </c>
      <c r="D38" s="189"/>
      <c r="E38" s="189"/>
    </row>
    <row r="39" spans="1:5" x14ac:dyDescent="0.25">
      <c r="B39" s="5" t="s">
        <v>23</v>
      </c>
      <c r="C39" s="190" t="s">
        <v>32</v>
      </c>
      <c r="D39" s="190"/>
      <c r="E39" s="190"/>
    </row>
    <row r="40" spans="1:5" x14ac:dyDescent="0.25">
      <c r="B40" s="16" t="s">
        <v>9</v>
      </c>
      <c r="C40" s="189" t="s">
        <v>30</v>
      </c>
      <c r="D40" s="189"/>
      <c r="E40" s="189"/>
    </row>
    <row r="41" spans="1:5" x14ac:dyDescent="0.25">
      <c r="B41" s="5" t="s">
        <v>8</v>
      </c>
      <c r="C41" s="190" t="s">
        <v>24</v>
      </c>
      <c r="D41" s="190"/>
      <c r="E41" s="190"/>
    </row>
    <row r="42" spans="1:5" x14ac:dyDescent="0.25">
      <c r="B42" s="16" t="s">
        <v>25</v>
      </c>
      <c r="C42" s="189" t="s">
        <v>26</v>
      </c>
      <c r="D42" s="189"/>
      <c r="E42" s="189"/>
    </row>
    <row r="43" spans="1:5" x14ac:dyDescent="0.25">
      <c r="B43" s="5" t="s">
        <v>27</v>
      </c>
      <c r="C43" s="190" t="s">
        <v>31</v>
      </c>
      <c r="D43" s="190"/>
      <c r="E43" s="190"/>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89" t="s">
        <v>66</v>
      </c>
      <c r="D46" s="189"/>
      <c r="E46" s="189"/>
    </row>
    <row r="47" spans="1:5" s="17" customFormat="1" x14ac:dyDescent="0.25">
      <c r="A47" s="18"/>
      <c r="B47" s="20" t="s">
        <v>50</v>
      </c>
      <c r="C47" s="190" t="s">
        <v>65</v>
      </c>
      <c r="D47" s="190"/>
      <c r="E47" s="190"/>
    </row>
    <row r="48" spans="1:5" s="17" customFormat="1" ht="48.75" customHeight="1" x14ac:dyDescent="0.25">
      <c r="A48" s="18"/>
      <c r="B48" s="16" t="s">
        <v>51</v>
      </c>
      <c r="C48" s="189" t="s">
        <v>68</v>
      </c>
      <c r="D48" s="189"/>
      <c r="E48" s="189"/>
    </row>
    <row r="49" spans="1:5" s="17" customFormat="1" ht="29.25" customHeight="1" x14ac:dyDescent="0.25">
      <c r="A49" s="18"/>
      <c r="B49" s="20" t="s">
        <v>52</v>
      </c>
      <c r="C49" s="190" t="s">
        <v>67</v>
      </c>
      <c r="D49" s="190"/>
      <c r="E49" s="190"/>
    </row>
    <row r="50" spans="1:5" x14ac:dyDescent="0.25">
      <c r="B50" s="5"/>
      <c r="C50" s="6"/>
      <c r="D50" s="6"/>
      <c r="E50" s="6"/>
    </row>
    <row r="51" spans="1:5" ht="94.5" customHeight="1" x14ac:dyDescent="0.25">
      <c r="A51" s="1">
        <v>17</v>
      </c>
      <c r="B51" s="187" t="s">
        <v>174</v>
      </c>
      <c r="C51" s="187"/>
      <c r="D51" s="187"/>
      <c r="E51" s="187"/>
    </row>
    <row r="53" spans="1:5" x14ac:dyDescent="0.25">
      <c r="B53" s="2"/>
    </row>
    <row r="54" spans="1:5" x14ac:dyDescent="0.25">
      <c r="A54" s="186" t="s">
        <v>34</v>
      </c>
      <c r="B54" s="186"/>
      <c r="C54" s="186"/>
      <c r="D54" s="186"/>
      <c r="E54" s="186"/>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2019-02-04T21:01:40Z</dcterms:modified>
</cp:coreProperties>
</file>