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Transactions'!$A$1:$T$42</definedName>
    <definedName name="Query_from_MS_Access_Database" localSheetId="0" hidden="1">'Federal Funds Transactions'!$A$15:$T$22</definedName>
    <definedName name="Query_from_MS_Access_Database" localSheetId="1" hidden="1">'Regional Loans and Transfers'!$A$11:$W$49</definedName>
    <definedName name="Query_from_MS_Access_Database_1" localSheetId="0" hidden="1">'Federal Funds Transactions'!$A$27:$T$31</definedName>
    <definedName name="Query_from_MS_Access_Database_1" localSheetId="1" hidden="1">'Regional Loans and Transfers'!$A$52:$W$90</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V28" i="1" l="1"/>
  <c r="V29" i="1" s="1"/>
  <c r="V18" i="1"/>
  <c r="V19" i="1" s="1"/>
  <c r="V20" i="1" s="1"/>
  <c r="V21" i="1" s="1"/>
  <c r="V22" i="1" s="1"/>
  <c r="I16" i="1"/>
  <c r="I17" i="1"/>
  <c r="I18" i="1"/>
  <c r="I19" i="1"/>
  <c r="I20" i="1"/>
  <c r="I21" i="1"/>
  <c r="I22" i="1"/>
  <c r="U16" i="1"/>
  <c r="V16" i="1" s="1"/>
  <c r="U17" i="1"/>
  <c r="U18" i="1"/>
  <c r="U19" i="1"/>
  <c r="U20" i="1"/>
  <c r="U21" i="1"/>
  <c r="U22" i="1"/>
  <c r="I28" i="1"/>
  <c r="I29" i="1"/>
  <c r="I30" i="1"/>
  <c r="I31" i="1"/>
  <c r="U28" i="1"/>
  <c r="U29" i="1"/>
  <c r="U30" i="1"/>
  <c r="V30" i="1" s="1"/>
  <c r="V31" i="1" s="1"/>
  <c r="U31" i="1"/>
  <c r="V17" i="1" l="1"/>
  <c r="V11" i="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N32" i="1" l="1"/>
  <c r="N23" i="1"/>
  <c r="N34" i="1" l="1"/>
  <c r="T39" i="1"/>
  <c r="O32" i="1"/>
  <c r="P32" i="1"/>
  <c r="Q32" i="1"/>
  <c r="R32" i="1"/>
  <c r="S32" i="1"/>
  <c r="T32" i="1"/>
  <c r="O23" i="1"/>
  <c r="P23" i="1"/>
  <c r="Q23" i="1"/>
  <c r="R23" i="1"/>
  <c r="S23" i="1"/>
  <c r="T23" i="1"/>
  <c r="S34" i="1" l="1"/>
  <c r="O34" i="1"/>
  <c r="R34" i="1"/>
  <c r="Q34" i="1"/>
  <c r="T34" i="1"/>
  <c r="P34" i="1"/>
  <c r="U32" i="1"/>
  <c r="U23" i="1"/>
  <c r="U34" i="1" l="1"/>
  <c r="N12" i="1"/>
  <c r="U39" i="1" l="1"/>
  <c r="S39" i="1"/>
  <c r="R39" i="1"/>
  <c r="Q39" i="1"/>
  <c r="P39" i="1"/>
  <c r="N39" i="1"/>
  <c r="N24" i="1" l="1"/>
  <c r="S12" i="1" l="1"/>
  <c r="S24" i="1" s="1"/>
  <c r="S33" i="1" s="1"/>
  <c r="R12" i="1"/>
  <c r="R24" i="1" s="1"/>
  <c r="R33" i="1" s="1"/>
  <c r="V39" i="1" l="1"/>
  <c r="O39" i="1"/>
  <c r="U5" i="1" l="1"/>
  <c r="V5" i="1" s="1"/>
  <c r="D11" i="2" l="1"/>
  <c r="D13" i="2" s="1"/>
  <c r="B5" i="3" l="1"/>
  <c r="U4" i="1" l="1"/>
  <c r="R38" i="1" l="1"/>
  <c r="R41" i="1" l="1"/>
  <c r="R40" i="1"/>
  <c r="P12" i="1"/>
  <c r="P24" i="1" l="1"/>
  <c r="P33" i="1" s="1"/>
  <c r="A7" i="3"/>
  <c r="U7" i="1" l="1"/>
  <c r="U8" i="1"/>
  <c r="U9" i="1"/>
  <c r="U10" i="1"/>
  <c r="U11" i="1"/>
  <c r="Q12" i="1" l="1"/>
  <c r="P38" i="1" l="1"/>
  <c r="P41" i="1" s="1"/>
  <c r="Q24" i="1"/>
  <c r="U6" i="1"/>
  <c r="Q33" i="1" l="1"/>
  <c r="Q38" i="1" s="1"/>
  <c r="Q41" i="1" s="1"/>
  <c r="P40" i="1"/>
  <c r="A1" i="3"/>
  <c r="Q40" i="1" l="1"/>
  <c r="O12" i="1"/>
  <c r="O24" i="1" s="1"/>
  <c r="O33" i="1" l="1"/>
  <c r="O38" i="1" s="1"/>
  <c r="O41" i="1" s="1"/>
  <c r="N33" i="1"/>
  <c r="N38" i="1" s="1"/>
  <c r="T12" i="1"/>
  <c r="O40" i="1" l="1"/>
  <c r="S38" i="1"/>
  <c r="S41" i="1" s="1"/>
  <c r="T24" i="1"/>
  <c r="T33" i="1" s="1"/>
  <c r="T38" i="1" s="1"/>
  <c r="N41" i="1"/>
  <c r="N40" i="1"/>
  <c r="U12" i="1"/>
  <c r="V12" i="1"/>
  <c r="T40" i="1" l="1"/>
  <c r="T41" i="1"/>
  <c r="U38" i="1"/>
  <c r="U40" i="1" s="1"/>
  <c r="U24" i="1"/>
  <c r="U33" i="1" s="1"/>
  <c r="S40" i="1"/>
  <c r="V38" i="1" l="1"/>
  <c r="V40"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2-CYMPO LEDGER`.`ADOT#`, `02-CYMPO LEDGER`.`TIP#`, `02-CYMPO LEDGER`.Sponsor, `02-CYMPO LEDGER`.`Action/15`, `02-CYMPO LEDGER`.Location, `02-CYMPO LEDGER`.RTE, `02-CYMPO LEDGER`.SEC, `02-CYMPO LEDGER`.SEQ, `02-CYMPO LEDGER`.`PB Expected`, `02-CYMPO LEDGER`.`PB Received`, `02-CYMPO LEDGER`.`PF Transmitted`, `02-CYMPO LEDGER`.`Finance Authorization`, `02-CYMPO LEDGER`.`HURF EXCHANGE` AS `HURF EX`, `02-CYMPO LEDGER`.HSIP, `02-CYMPO LEDGER`.PL, `02-CYMPO LEDGER`.SPR, `02-CYMPO LEDGER`.`STP &lt;5`, `02-CYMPO LEDGER`.`STP 5-200`, `02-CYMPO LEDGER`.`STP other`_x000d__x000a_FROM `G:\FMS\RESOURCE\ACCESS\010614 PBPF\011614 PBPF front.accdb`.`02-CYMPO LEDGER` `02-CYMPO LEDGER`_x000d__x000a_WHERE (`02-CYMPO LEDGER`.`ADOT#`&lt;&gt;'Trick') AND (`02-CYMPO LEDGER`.`Finance Authorization`&gt;=#10/1/2018# AND `02-CYMPO LEDGER`.`Finance Authorization`&lt;=#9/30/2019#)_x000d__x000a_ORDER BY `02-CY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2-CYMPOqryLedgerApportsCrosstab`.`Transaction Year`, `02-CYMPOqryLedgerApportsCrosstab`.`Transaction Type`, `02-CYMPOqryLedgerApportsCrosstab`.Number, `02-CYMPOqryLedgerApportsCrosstab`.`From`, `02-CYMPOqryLedgerApportsCrosstab`.To, `02-CYMPOqryLedgerApportsCrosstab`.`Repayment Year`, `02-CYMPOqryLedgerApportsCrosstab`.Project8, `02-CYMPOqryLedgerApportsCrosstab`.Notes, `02-CYMPOqryLedgerApportsCrosstab`.Total, `02-CYMPOqryLedgerApportsCrosstab`.CMAQ, `02-CYMPOqryLedgerApportsCrosstab`.`CMAQ 25`, `02-CYMPOqryLedgerApportsCrosstab`.`HURF Exchange`, `02-CYMPOqryLedgerApportsCrosstab`.HSIP, `02-CYMPOqryLedgerApportsCrosstab`.PLAN, `02-CYMPOqryLedgerApportsCrosstab`.SPR, `02-CYMPOqryLedgerApportsCrosstab`.`STP &lt;5`, `02-CYMPOqryLedgerApportsCrosstab`.`STP 5-2`, `02-CYMPOqryLedgerApportsCrosstab`.`STP FLEX`, `02-CYMPOqryLedgerApportsCrosstab`.`STP &gt;200`, `02-CYMPOqryLedgerApportsCrosstab`.`TAP FLEX`, `02-CYMPOqryLedgerApportsCrosstab`.`TAP &gt;200`, `02-CYMPOqryLedgerApportsCrosstab`.`TAP &lt;5`, `02-CYMPOqryLedgerApportsCrosstab`.`TAP 5-2`_x000d__x000a_FROM `G:\FMS\RESOURCE\ACCESS\010614 PBPF\011614 PBPF front.accdb`.`02-CYMPOqryLedgerApportsCrosstab` `02-CYMPOqryLedgerApportsCrosstab`_x000d__x000a_WHERE (`02-C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2-CYMPOqryLedgerOACrosstab`.`Transaction Year`, `02-CYMPOqryLedgerOACrosstab`.`Transaction Type`, `02-CYMPOqryLedgerOACrosstab`.Number, `02-CYMPOqryLedgerOACrosstab`.`From`, `02-CYMPOqryLedgerOACrosstab`.To, `02-CYMPOqryLedgerOACrosstab`.`Repayment Year`, `02-CYMPOqryLedgerOACrosstab`.Project8, `02-CYMPOqryLedgerOACrosstab`.Notes, `02-CYMPOqryLedgerOACrosstab`.Total, `02-CYMPOqryLedgerOACrosstab`.CMAQ, `02-CYMPOqryLedgerOACrosstab`.`CMAQ 25`, `02-CYMPOqryLedgerOACrosstab`.`HURF Exchange`, `02-CYMPOqryLedgerOACrosstab`.HSIP, `02-CYMPOqryLedgerOACrosstab`.PLAN, `02-CYMPOqryLedgerOACrosstab`.SPR, `02-CYMPOqryLedgerOACrosstab`.`STP &lt;5`, `02-CYMPOqryLedgerOACrosstab`.`STP 5-2`, `02-CYMPOqryLedgerOACrosstab`.`STP FLEX`, `02-CYMPOqryLedgerOACrosstab`.`STP &gt;200`, `02-CYMPOqryLedgerOACrosstab`.`TAP FLEX`, `02-CYMPOqryLedgerOACrosstab`.`TAP &gt;200`, `02-CYMPOqryLedgerOACrosstab`.`TAP &lt;5`, `02-CYMPOqryLedgerOACrosstab`.`TAP 5-2`_x000d__x000a_FROM `G:\FMS\RESOURCE\ACCESS\010614 PBPF\011614 PBPF front.accdb`.`02-CYMPOqryLedgerOACrosstab` `02-CYMPOqryLedgerOACrosstab`_x000d__x000a_WHERE (`02-C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2-CYMPO LEDGER`.`ADOT#`, `02-CYMPO LEDGER`.`TIP#`, `02-CYMPO LEDGER`.Sponsor, `02-CYMPO LEDGER`.`Action/15`, `02-CYMPO LEDGER`.Location, `02-CYMPO LEDGER`.RTE, `02-CYMPO LEDGER`.SEC, `02-CYMPO LEDGER`.SEQ, `02-CYMPO LEDGER`.`PB Expected`, `02-CYMPO LEDGER`.`PB Received`, `02-CYMPO LEDGER`.`PF Transmitted`, `02-CYMPO LEDGER`.`Finance Authorization`, `02-CYMPO LEDGER`.`hurf exchange` as `HURF EX`, `02-CYMPO LEDGER`.HSIP, `02-CYMPO LEDGER`.PL, `02-CYMPO LEDGER`.SPR, `02-CYMPO LEDGER`.`STP &lt;5`, `02-CYMPO LEDGER`.`STP 5-200`, `02-CYMPO LEDGER`.`STP OTHER`_x000d__x000a_FROM `G:\FMS\RESOURCE\ACCESS\010614 PBPF\011614 PBPF front.accdb`.`02-CYMPO LEDGER` `02-CYMPO LEDGER`_x000d__x000a_WHERE (`02-CYMPO LEDGER`.`ADOT#` Not Like 'Trick') AND (`02-CYMPO LEDGER`.`Finance Authorization` Is Null) AND ((`02-CYMPO LEDGER`.`PB Expected`&gt;=#10/1/2018# and `PB Expected`&lt;=#9/30/2019#) OR (`02-CYMPO LEDGER`.`PB Received`&gt;=#10/1/2018# and `PB Received`&lt;=#9/30/2019#) OR (`02-CYMPO LEDGER`.`PF Transmitted`&gt;=#10/1/2018# and `PF Transmitted`&lt;=#9/30/2019#))_x000d__x000a_ORDER BY `02-CYMPO LEDGER`.`ADOT#`"/>
  </connection>
</connections>
</file>

<file path=xl/sharedStrings.xml><?xml version="1.0" encoding="utf-8"?>
<sst xmlns="http://schemas.openxmlformats.org/spreadsheetml/2006/main" count="859" uniqueCount="235">
  <si>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</si>
  <si>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</si>
  <si>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</si>
  <si>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</si>
  <si>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</si>
  <si>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</si>
  <si>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</si>
  <si>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</si>
  <si>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</si>
  <si>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</si>
  <si>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</si>
  <si>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</si>
  <si>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</si>
  <si>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</si>
  <si>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</si>
  <si>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</si>
  <si>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</si>
  <si>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</si>
  <si>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</si>
  <si>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</si>
  <si>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</si>
  <si>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</si>
  <si>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</si>
  <si>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</si>
  <si>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</si>
  <si>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</si>
  <si>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</si>
  <si>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</si>
  <si>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</si>
  <si>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</si>
  <si>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</si>
  <si>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</si>
  <si>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</si>
  <si>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</si>
  <si>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</si>
  <si>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</si>
  <si>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</si>
  <si>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</si>
  <si>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</si>
  <si>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</si>
  <si>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</si>
  <si>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</si>
  <si>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</si>
  <si>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</si>
  <si>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</si>
  <si>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</si>
  <si>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</si>
  <si>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</si>
  <si>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</si>
  <si>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</si>
  <si>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</si>
  <si>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</si>
  <si>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</si>
  <si>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</si>
  <si>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</si>
  <si>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</si>
  <si>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</si>
  <si>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</si>
  <si>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</si>
  <si>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</si>
  <si>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</si>
  <si>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</si>
  <si>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</si>
  <si>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</si>
  <si>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</si>
  <si>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</si>
  <si>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</si>
  <si>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</si>
  <si>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</si>
  <si>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</si>
  <si>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</si>
  <si>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</si>
  <si>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</si>
  <si>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</si>
  <si>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</si>
  <si>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</si>
  <si>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</si>
  <si>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</si>
  <si>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</si>
  <si>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</si>
  <si>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</si>
  <si>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</si>
  <si>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</si>
  <si>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</si>
  <si>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</si>
  <si>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</si>
  <si>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</si>
  <si>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</si>
  <si>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</si>
  <si>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</si>
  <si>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</si>
  <si>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</si>
  <si>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</si>
  <si>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</si>
  <si>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</si>
  <si>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</si>
  <si>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</si>
  <si>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</si>
  <si>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</si>
  <si>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</si>
  <si>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</si>
  <si>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</si>
  <si>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</si>
  <si>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</si>
  <si>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</si>
  <si>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</si>
  <si>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</si>
  <si>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</si>
  <si>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</si>
  <si>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</si>
  <si>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</si>
  <si>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</si>
  <si>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</si>
  <si>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</si>
  <si>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</si>
  <si>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</si>
  <si>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FMPO</t>
  </si>
  <si>
    <t>Regional Safety Plan</t>
  </si>
  <si>
    <t>Central Yavapai Metropolitan Planning Organization</t>
  </si>
  <si>
    <t>2012</t>
  </si>
  <si>
    <t>CYMPO-L001</t>
  </si>
  <si>
    <t>CYMPO</t>
  </si>
  <si>
    <t>2013</t>
  </si>
  <si>
    <t>SH476</t>
  </si>
  <si>
    <t>HSIP Loan to ADOT</t>
  </si>
  <si>
    <t>CYMPO-T001</t>
  </si>
  <si>
    <t>H803901C</t>
  </si>
  <si>
    <t>To ADOT</t>
  </si>
  <si>
    <t>Repayment from ADOT for 2012 HSIP Loan</t>
  </si>
  <si>
    <t>CYMPO-T002</t>
  </si>
  <si>
    <t>CYMPO-LP01</t>
  </si>
  <si>
    <t>CYMPO LAPSING FUNDS - FFY14</t>
  </si>
  <si>
    <t>Loan In</t>
  </si>
  <si>
    <t>NACOG14-L002</t>
  </si>
  <si>
    <t>NACOG</t>
  </si>
  <si>
    <t>2014 LOAN FROM NACOG TO CYMPO FOR SIGN REPLACEMENT</t>
  </si>
  <si>
    <t>CYMPO-T003</t>
  </si>
  <si>
    <t>Repayment Out</t>
  </si>
  <si>
    <t>2015 REPAYMENT FROM CYMPO TO NACOG FOR SIGN REPLACEMENT</t>
  </si>
  <si>
    <t>CYMPO -T004</t>
  </si>
  <si>
    <t>to ADOT</t>
  </si>
  <si>
    <t>FMPO15-L001</t>
  </si>
  <si>
    <t>FMPO HSIP Loan to CYMPO</t>
  </si>
  <si>
    <t>CYMPO16-L001</t>
  </si>
  <si>
    <t>SR89A Corridor Plan</t>
  </si>
  <si>
    <t>CYMPO STP Loan to ADOT</t>
  </si>
  <si>
    <t>CYMPO-16L2</t>
  </si>
  <si>
    <t>CYMPO PL Loan to ADOT</t>
  </si>
  <si>
    <t>CYMPO-16L3</t>
  </si>
  <si>
    <t>CYMPO HSIP Loan to ADOT</t>
  </si>
  <si>
    <t>CYMPO16-T001</t>
  </si>
  <si>
    <t>H833001C</t>
  </si>
  <si>
    <t>CYMPO STP Transfer to ADOT</t>
  </si>
  <si>
    <t>NACOGCYMPO-17</t>
  </si>
  <si>
    <t>Toltec Rd</t>
  </si>
  <si>
    <t>NACOG STP Loan to CYMPO</t>
  </si>
  <si>
    <t>CYMPOADOT-17L1</t>
  </si>
  <si>
    <t>PCY1806P</t>
  </si>
  <si>
    <t>CYMPO SPR Loan to ADOT</t>
  </si>
  <si>
    <t>CYMPOADOT-17L2</t>
  </si>
  <si>
    <t>CY-MPO-16-09</t>
  </si>
  <si>
    <t>Regional Signs</t>
  </si>
  <si>
    <t>CYMPOADOT-17L3</t>
  </si>
  <si>
    <t>SR69 Design</t>
  </si>
  <si>
    <t>CYMPO17-T001</t>
  </si>
  <si>
    <t>SL68001C</t>
  </si>
  <si>
    <t>CYMPO HSIP OA Transfer to ADOT</t>
  </si>
  <si>
    <t>CYMPOADOT-17T1</t>
  </si>
  <si>
    <t>CYMPONACOG-17T1</t>
  </si>
  <si>
    <t>CYMPO HSIP transfer to NACOG</t>
  </si>
  <si>
    <t>CYMPO18-T001</t>
  </si>
  <si>
    <t>H851801C</t>
  </si>
  <si>
    <t>PCY1901P</t>
  </si>
  <si>
    <t>CYMPO 2019 WP - SPR</t>
  </si>
  <si>
    <t>CYM</t>
  </si>
  <si>
    <t>PCY1902P</t>
  </si>
  <si>
    <t>CYMPO 2019 WP - PL</t>
  </si>
  <si>
    <t>CMAQ 25</t>
  </si>
  <si>
    <t>PLAN</t>
  </si>
  <si>
    <t>STP FLEX</t>
  </si>
  <si>
    <t>STP &gt;200</t>
  </si>
  <si>
    <t>TAP FLEX</t>
  </si>
  <si>
    <t>TAP &gt;200</t>
  </si>
  <si>
    <t>TAP &lt;5</t>
  </si>
  <si>
    <t>TAP 5-2</t>
  </si>
  <si>
    <t>HURF Exchange</t>
  </si>
  <si>
    <t>HURF EX</t>
  </si>
  <si>
    <t>STP 5-200</t>
  </si>
  <si>
    <t>State FY 20 amount avaiilable for authorization 07/1/20 - 09/30/20 (request must be submitted by 09/01/20)</t>
  </si>
  <si>
    <t>State FY 19 Approved work program amount</t>
  </si>
  <si>
    <t>State FY 19 amount authorized prior to 09/30/19 or Lapsed funding</t>
  </si>
  <si>
    <t xml:space="preserve">State FY 19 amount available for authorization 10/01/19 - 06/30/20 </t>
  </si>
  <si>
    <t>Total SPR apportionments for Federal Fiscal Year 19 (as shown on ledger)</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</si>
  <si>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</si>
  <si>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</si>
  <si>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</si>
  <si>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Federal Fiscal Year 2019</t>
  </si>
  <si>
    <t>Planned Lapsing - 06/30/19</t>
  </si>
  <si>
    <t>Lapsed - 07/01/19</t>
  </si>
  <si>
    <t>Planned Lapsing - 09/30/19</t>
  </si>
  <si>
    <t>Carry Forward to FFY 20</t>
  </si>
  <si>
    <t>PCY2001P</t>
  </si>
  <si>
    <t>CYMPO 2020 WP - SPR</t>
  </si>
  <si>
    <t>020</t>
  </si>
  <si>
    <t>PCY2002P</t>
  </si>
  <si>
    <t>CYMPO 2020 WP - PL</t>
  </si>
  <si>
    <t xml:space="preserve"> </t>
  </si>
  <si>
    <t>PCY1802P</t>
  </si>
  <si>
    <t>CYMPO 2018 WP - PL</t>
  </si>
  <si>
    <t>018</t>
  </si>
  <si>
    <t>PCY1801P</t>
  </si>
  <si>
    <t>N/A</t>
  </si>
  <si>
    <t>CYMPO 2018 WP - SPR</t>
  </si>
  <si>
    <t>PCY1701P</t>
  </si>
  <si>
    <t>CYMPO 2017 WP - SPR</t>
  </si>
  <si>
    <t>017</t>
  </si>
  <si>
    <t>SH60001C</t>
  </si>
  <si>
    <t>CY-MPO-16-01/CY-YYV-12-05</t>
  </si>
  <si>
    <t>CENTRAL YAVAPAI COUNTY, VARIOUS LOCATIONS</t>
  </si>
  <si>
    <t>0</t>
  </si>
  <si>
    <t>203</t>
  </si>
  <si>
    <t>CY-MPO-19-06</t>
  </si>
  <si>
    <t>REGIONAL DISTRACTED DRIVING CAMPAIGN</t>
  </si>
  <si>
    <t>TBD</t>
  </si>
  <si>
    <t>T022001C</t>
  </si>
  <si>
    <t>CY-MPO-19-08</t>
  </si>
  <si>
    <t>PRESCOTT</t>
  </si>
  <si>
    <t>SR 89 Willow Lake to Phippen Trail Pavement Pres</t>
  </si>
  <si>
    <t>089</t>
  </si>
  <si>
    <t>HFX</t>
  </si>
  <si>
    <t>SVMPOCYMPO-19L1</t>
  </si>
  <si>
    <t>SVMPO</t>
  </si>
  <si>
    <t>2020</t>
  </si>
  <si>
    <t>DDPE</t>
  </si>
  <si>
    <t>SVMPO STBGP Loan to CYMPO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</si>
</sst>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ont>
    <font>
      <sz val="9"/>
      <name val="Arial Unicode MS"/>
    </font>
    <font>
      <sz val="11"/>
      <color theme="1"/>
      <name val="Calibri"/>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xf numFmtId="0" fontId="32" fillId="0" borderId="0"/>
    <xf numFmtId="0" fontId="32" fillId="0" borderId="0"/>
  </cellStyleXfs>
  <cellXfs count="193">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16" fillId="0" borderId="8" xfId="1" applyNumberFormat="1" applyFont="1" applyFill="1" applyBorder="1" applyAlignment="1">
      <alignment horizontal="center" vertical="center" wrapText="1"/>
    </xf>
    <xf numFmtId="40" fontId="24" fillId="0" borderId="0" xfId="0" applyNumberFormat="1" applyFont="1" applyBorder="1" applyAlignment="1">
      <alignment horizontal="left" vertical="top" wrapText="1"/>
    </xf>
    <xf numFmtId="14" fontId="17" fillId="0" borderId="0" xfId="0" applyNumberFormat="1" applyFont="1" applyBorder="1" applyAlignment="1">
      <alignment horizontal="center"/>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64" fontId="24" fillId="0" borderId="0" xfId="0" applyNumberFormat="1" applyFont="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4"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43" fontId="31" fillId="0" borderId="0" xfId="3" applyFont="1" applyBorder="1"/>
    <xf numFmtId="43" fontId="31" fillId="0" borderId="0" xfId="3" applyFont="1"/>
    <xf numFmtId="40" fontId="17" fillId="0" borderId="22" xfId="0" applyNumberFormat="1" applyFont="1" applyFill="1" applyBorder="1" applyAlignment="1">
      <alignment vertical="top"/>
    </xf>
    <xf numFmtId="40" fontId="23" fillId="0" borderId="22"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Border="1" applyAlignment="1">
      <alignment vertical="top" wrapText="1"/>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17" fillId="0" borderId="0" xfId="0" applyNumberFormat="1" applyFont="1" applyBorder="1" applyAlignment="1">
      <alignment vertical="center"/>
    </xf>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0" fontId="17" fillId="0" borderId="0" xfId="0" applyFont="1" applyAlignment="1">
      <alignment vertical="top" wrapText="1"/>
    </xf>
    <xf numFmtId="40" fontId="24" fillId="0" borderId="0" xfId="0" applyNumberFormat="1" applyFont="1" applyAlignment="1">
      <alignment horizontal="left" vertical="top" wrapText="1"/>
    </xf>
    <xf numFmtId="0" fontId="17" fillId="0" borderId="0" xfId="0" applyFont="1" applyAlignment="1">
      <alignment horizontal="center" vertical="top" wrapText="1"/>
    </xf>
    <xf numFmtId="40" fontId="24" fillId="0" borderId="0" xfId="0" applyNumberFormat="1" applyFont="1" applyAlignment="1">
      <alignment horizontal="center" vertical="top" wrapText="1"/>
    </xf>
    <xf numFmtId="40" fontId="24" fillId="0" borderId="0" xfId="0" applyNumberFormat="1" applyFont="1" applyAlignment="1">
      <alignment vertical="top" wrapText="1"/>
    </xf>
    <xf numFmtId="44" fontId="11" fillId="0" borderId="0" xfId="1" applyFont="1" applyBorder="1" applyAlignment="1">
      <alignment vertical="top" wrapText="1"/>
    </xf>
    <xf numFmtId="44" fontId="17" fillId="0" borderId="0" xfId="1" applyFont="1" applyBorder="1" applyAlignment="1">
      <alignment vertical="top" wrapText="1"/>
    </xf>
    <xf numFmtId="0" fontId="36" fillId="0" borderId="0" xfId="0" applyFont="1" applyAlignment="1">
      <alignment vertical="top" wrapText="1"/>
    </xf>
    <xf numFmtId="40" fontId="37" fillId="0" borderId="0" xfId="0" applyNumberFormat="1" applyFont="1" applyAlignment="1">
      <alignment vertical="top" wrapText="1"/>
    </xf>
    <xf numFmtId="40" fontId="37" fillId="0" borderId="0" xfId="0" applyNumberFormat="1" applyFont="1" applyAlignment="1">
      <alignment horizontal="center" vertical="top" wrapText="1"/>
    </xf>
    <xf numFmtId="164" fontId="37" fillId="0" borderId="0" xfId="0" applyNumberFormat="1" applyFont="1" applyAlignment="1">
      <alignment horizontal="center" vertical="top" wrapText="1"/>
    </xf>
    <xf numFmtId="40" fontId="37" fillId="0" borderId="0" xfId="0" applyNumberFormat="1" applyFont="1" applyAlignment="1">
      <alignment vertical="top"/>
    </xf>
    <xf numFmtId="40" fontId="36" fillId="0" borderId="0" xfId="0" applyNumberFormat="1" applyFont="1" applyAlignment="1">
      <alignment vertical="top"/>
    </xf>
    <xf numFmtId="40" fontId="37" fillId="0" borderId="0" xfId="0" applyNumberFormat="1" applyFont="1" applyAlignment="1">
      <alignment horizontal="left" vertical="top" wrapText="1"/>
    </xf>
    <xf numFmtId="0" fontId="36" fillId="0" borderId="0" xfId="0" applyFont="1" applyAlignment="1">
      <alignment horizontal="center" vertical="top" wrapText="1"/>
    </xf>
    <xf numFmtId="164" fontId="37" fillId="0" borderId="0" xfId="0" applyNumberFormat="1" applyFont="1" applyAlignment="1">
      <alignment horizontal="center" vertical="top"/>
    </xf>
    <xf numFmtId="43" fontId="38" fillId="0" borderId="0" xfId="3" applyFont="1"/>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3" fillId="0" borderId="0" xfId="0" applyFont="1" applyBorder="1" applyAlignment="1">
      <alignment horizontal="left" vertical="top" wrapText="1"/>
    </xf>
    <xf numFmtId="0" fontId="0" fillId="0" borderId="0" xfId="0" applyAlignment="1">
      <alignment horizontal="left" vertical="top"/>
    </xf>
    <xf numFmtId="0" fontId="35" fillId="0" borderId="0" xfId="0" applyFont="1" applyAlignment="1">
      <alignment horizontal="left" vertical="top" wrapText="1"/>
    </xf>
  </cellXfs>
  <cellStyles count="6">
    <cellStyle name="Comma" xfId="3" builtinId="3"/>
    <cellStyle name="Currency" xfId="1" builtinId="4"/>
    <cellStyle name="Normal" xfId="0" builtinId="0"/>
    <cellStyle name="Normal 2" xfId="5"/>
    <cellStyle name="Normal 4" xfId="4"/>
    <cellStyle name="Normal_Notes" xfId="2"/>
  </cellStyles>
  <dxfs count="124">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23"/>
      <tableStyleElement type="firstRowStripe" dxfId="122"/>
    </tableStyle>
    <tableStyle name="Table Style 2" pivot="0" count="1">
      <tableStyleElement type="firstRowStripe" dxfId="121"/>
    </tableStyle>
    <tableStyle name="Table Style 3" pivot="0" count="1">
      <tableStyleElement type="firstRowStripe" dxfId="120"/>
    </tableStyle>
    <tableStyle name="Table Style 4" pivot="0" count="3">
      <tableStyleElement type="wholeTable" dxfId="119"/>
      <tableStyleElement type="headerRow" dxfId="118"/>
      <tableStyleElement type="firstRowStripe" dxfId="117"/>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adjustColumnWidth="0" connectionId="2" autoFormatId="16" applyNumberFormats="0" applyBorderFormats="0" applyFontFormats="0" applyPatternFormats="0" applyAlignmentFormats="0" applyWidthHeightFormats="0">
  <queryTableRefresh nextId="24">
    <queryTableFields count="23">
      <queryTableField id="1" name="Transaction Year" tableColumnId="10"/>
      <queryTableField id="2" name="Transaction Type" tableColumnId="11"/>
      <queryTableField id="3" name="Number" tableColumnId="12"/>
      <queryTableField id="4" name="From" tableColumnId="13"/>
      <queryTableField id="5" name="To" tableColumnId="14"/>
      <queryTableField id="6" name="Repayment Year" tableColumnId="15"/>
      <queryTableField id="7" name="Project8" tableColumnId="16"/>
      <queryTableField id="8" name="Notes" tableColumnId="17"/>
      <queryTableField id="9" name="Total" tableColumnId="18"/>
      <queryTableField id="10" name="CMAQ" tableColumnId="19"/>
      <queryTableField id="11" name="CMAQ 25" tableColumnId="20"/>
      <queryTableField id="12" name="HURF Exchange" tableColumnId="21"/>
      <queryTableField id="13" name="HSIP" tableColumnId="22"/>
      <queryTableField id="14" name="PLAN" tableColumnId="23"/>
      <queryTableField id="15" name="SPR" tableColumnId="24"/>
      <queryTableField id="16" name="STP &lt;5" tableColumnId="25"/>
      <queryTableField id="17" name="STP 5-2" tableColumnId="26"/>
      <queryTableField id="18" name="STP FLEX" tableColumnId="27"/>
      <queryTableField id="19" name="STP &gt;200" tableColumnId="28"/>
      <queryTableField id="20" name="TAP FLEX" tableColumnId="29"/>
      <queryTableField id="21" name="TAP &gt;200" tableColumnId="30"/>
      <queryTableField id="22" name="TAP &lt;5" tableColumnId="31"/>
      <queryTableField id="23" name="TAP 5-2" tableColumnId="32"/>
    </queryTableFields>
  </queryTableRefresh>
</queryTable>
</file>

<file path=xl/queryTables/queryTable4.xml><?xml version="1.0" encoding="utf-8"?>
<queryTable xmlns="http://schemas.openxmlformats.org/spreadsheetml/2006/main" name="Query from MS Access Database_1" growShrinkType="insertClear" adjustColumnWidth="0" connectionId="3" autoFormatId="16" applyNumberFormats="0" applyBorderFormats="0" applyFontFormats="0" applyPatternFormats="0" applyAlignmentFormats="0" applyWidthHeightFormats="0">
  <queryTableRefresh nextId="32">
    <queryTableFields count="23">
      <queryTableField id="1" name="Transaction Year" tableColumnId="18"/>
      <queryTableField id="2" name="Transaction Type" tableColumnId="19"/>
      <queryTableField id="3" name="Number" tableColumnId="20"/>
      <queryTableField id="4" name="From" tableColumnId="21"/>
      <queryTableField id="5" name="To" tableColumnId="22"/>
      <queryTableField id="6" name="Repayment Year" tableColumnId="23"/>
      <queryTableField id="7" name="Project8" tableColumnId="24"/>
      <queryTableField id="8" name="Notes" tableColumnId="25"/>
      <queryTableField id="9" name="Total" tableColumnId="26"/>
      <queryTableField id="10" name="CMAQ" tableColumnId="27"/>
      <queryTableField id="11" name="CMAQ 25" tableColumnId="28"/>
      <queryTableField id="12" name="HURF Exchange" tableColumnId="29"/>
      <queryTableField id="13" name="HSIP" tableColumnId="30"/>
      <queryTableField id="14" name="PLAN" tableColumnId="31"/>
      <queryTableField id="15" name="SPR" tableColumnId="32"/>
      <queryTableField id="16" name="STP &lt;5" tableColumnId="33"/>
      <queryTableField id="17" name="STP 5-2" tableColumnId="34"/>
      <queryTableField id="18" name="STP FLEX" tableColumnId="35"/>
      <queryTableField id="19" name="STP &gt;200" tableColumnId="36"/>
      <queryTableField id="20" name="TAP FLEX" tableColumnId="37"/>
      <queryTableField id="21" name="TAP &gt;200" tableColumnId="38"/>
      <queryTableField id="22" name="TAP &lt;5" tableColumnId="39"/>
      <queryTableField id="23" name="TAP 5-2" tableColumnId="4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16" dataDxfId="114" headerRowBorderDxfId="115" tableBorderDxfId="113" totalsRowBorderDxfId="112" headerRowCellStyle="Currency">
  <autoFilter ref="M3:V12"/>
  <tableColumns count="10">
    <tableColumn id="1" name="Description" dataDxfId="111"/>
    <tableColumn id="10" name="HURF EX" dataDxfId="110"/>
    <tableColumn id="4" name="HSIP/3" dataDxfId="109"/>
    <tableColumn id="2" name="PLAN" dataDxfId="108"/>
    <tableColumn id="5" name="SPR /4" dataDxfId="107"/>
    <tableColumn id="3" name="STP &lt;5" dataDxfId="106"/>
    <tableColumn id="9" name="STP 5-2" dataDxfId="105"/>
    <tableColumn id="6" name="STP other" dataDxfId="104"/>
    <tableColumn id="7" name="Total" dataDxfId="103"/>
    <tableColumn id="8" name="FFY OBLIGATION AUTHORITY /2" dataDxfId="102"/>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2" tableType="queryTable" totalsRowShown="0" headerRowDxfId="101" dataDxfId="100" tableBorderDxfId="99">
  <autoFilter ref="A15:V22"/>
  <tableColumns count="22">
    <tableColumn id="1" uniqueName="1" name="ADOT#" queryTableFieldId="1" dataDxfId="98"/>
    <tableColumn id="2" uniqueName="2" name="TIP#" queryTableFieldId="2" dataDxfId="97"/>
    <tableColumn id="3" uniqueName="3" name="Sponsor" queryTableFieldId="3" dataDxfId="96"/>
    <tableColumn id="4" uniqueName="4" name="Action/15" queryTableFieldId="4" dataDxfId="95"/>
    <tableColumn id="5" uniqueName="5" name="Location" queryTableFieldId="5" dataDxfId="94"/>
    <tableColumn id="6" uniqueName="6" name="RTE" queryTableFieldId="6" dataDxfId="93"/>
    <tableColumn id="7" uniqueName="7" name="SEC" queryTableFieldId="7" dataDxfId="92"/>
    <tableColumn id="8" uniqueName="8" name="SEQ" queryTableFieldId="8" dataDxfId="91"/>
    <tableColumn id="22" uniqueName="22" name="Fed #" queryTableFieldId="22" dataDxfId="90">
      <calculatedColumnFormula>CONCATENATE(Table_Query_from_MS_Access_Database8[RTE],Table_Query_from_MS_Access_Database8[SEC],Table_Query_from_MS_Access_Database8[SEQ])</calculatedColumnFormula>
    </tableColumn>
    <tableColumn id="9" uniqueName="9" name="PB Expected" queryTableFieldId="9" dataDxfId="89"/>
    <tableColumn id="10" uniqueName="10" name="PB Received" queryTableFieldId="10" dataDxfId="88"/>
    <tableColumn id="11" uniqueName="11" name="PF Transmitted" queryTableFieldId="11" dataDxfId="87"/>
    <tableColumn id="12" uniqueName="12" name="Finance Authorization" queryTableFieldId="12" dataDxfId="86"/>
    <tableColumn id="13" uniqueName="13" name="HURF EX" queryTableFieldId="13" dataDxfId="85"/>
    <tableColumn id="14" uniqueName="14" name="HSIP" queryTableFieldId="14" dataDxfId="84"/>
    <tableColumn id="15" uniqueName="15" name="PL" queryTableFieldId="15" dataDxfId="83"/>
    <tableColumn id="16" uniqueName="16" name="SPR" queryTableFieldId="16" dataDxfId="82"/>
    <tableColumn id="17" uniqueName="17" name="STP &lt;5" queryTableFieldId="17" dataDxfId="81"/>
    <tableColumn id="18" uniqueName="18" name="STP 5-200" queryTableFieldId="18" dataDxfId="80"/>
    <tableColumn id="19" uniqueName="19" name="STP other" queryTableFieldId="19" dataDxfId="79"/>
    <tableColumn id="20" uniqueName="20" name="TOTAL OF AMOUNT" queryTableFieldId="21" dataDxfId="78">
      <calculatedColumnFormula>SUM(Table_Query_from_MS_Access_Database8[[#This Row],[HURF EX]:[STP other]])</calculatedColumnFormula>
    </tableColumn>
    <tableColumn id="21" uniqueName="21" name="DECLINING BALANCE OA" queryTableFieldId="20" dataDxfId="77">
      <calculatedColumnFormula>V12-Table_Query_from_MS_Access_Database8[TOTAL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7:V31" tableType="queryTable" totalsRowShown="0" headerRowDxfId="76" dataDxfId="75">
  <autoFilter ref="A27:V31"/>
  <tableColumns count="22">
    <tableColumn id="1" uniqueName="1" name="ADOT#" queryTableFieldId="1" dataDxfId="74"/>
    <tableColumn id="2" uniqueName="2" name="TIP#" queryTableFieldId="2" dataDxfId="73"/>
    <tableColumn id="3" uniqueName="3" name="Sponsor" queryTableFieldId="3" dataDxfId="72"/>
    <tableColumn id="4" uniqueName="4" name="Action/15" queryTableFieldId="4" dataDxfId="71"/>
    <tableColumn id="5" uniqueName="5" name="Location" queryTableFieldId="5" dataDxfId="70"/>
    <tableColumn id="6" uniqueName="6" name="RTE" queryTableFieldId="6" dataDxfId="69"/>
    <tableColumn id="7" uniqueName="7" name="SEC" queryTableFieldId="7" dataDxfId="68"/>
    <tableColumn id="8" uniqueName="8" name="SEQ" queryTableFieldId="8" dataDxfId="67"/>
    <tableColumn id="22" uniqueName="22" name="Fed #" queryTableFieldId="22" dataDxfId="66">
      <calculatedColumnFormula>CONCATENATE(Table_Query_from_MS_Access_Database_1[RTE],Table_Query_from_MS_Access_Database_1[SEC],Table_Query_from_MS_Access_Database_1[SEQ])</calculatedColumnFormula>
    </tableColumn>
    <tableColumn id="9" uniqueName="9" name="PB Expected" queryTableFieldId="9" dataDxfId="65"/>
    <tableColumn id="10" uniqueName="10" name="PB Received" queryTableFieldId="10" dataDxfId="64"/>
    <tableColumn id="11" uniqueName="11" name="PF Transmitted" queryTableFieldId="11" dataDxfId="63"/>
    <tableColumn id="12" uniqueName="12" name="Finance Authorization" queryTableFieldId="12" dataDxfId="62"/>
    <tableColumn id="13" uniqueName="13" name="HURF EX" queryTableFieldId="13" dataDxfId="61"/>
    <tableColumn id="14" uniqueName="14" name="HSIP" queryTableFieldId="14" dataDxfId="60"/>
    <tableColumn id="15" uniqueName="15" name="PL" queryTableFieldId="15" dataDxfId="59"/>
    <tableColumn id="16" uniqueName="16" name="SPR" queryTableFieldId="16" dataDxfId="58"/>
    <tableColumn id="17" uniqueName="17" name="STP &lt;5" queryTableFieldId="17" dataDxfId="57"/>
    <tableColumn id="18" uniqueName="18" name="STP 5-200" queryTableFieldId="18" dataDxfId="56"/>
    <tableColumn id="19" uniqueName="19" name="STP OTHER" queryTableFieldId="19" dataDxfId="55"/>
    <tableColumn id="20" uniqueName="20" name="TOTAL OF AMOUNT" queryTableFieldId="21" dataDxfId="54">
      <calculatedColumnFormula>SUM(Table_Query_from_MS_Access_Database_1[[#This Row],[HURF EX]:[STP OTHER]])</calculatedColumnFormula>
    </tableColumn>
    <tableColumn id="21" uniqueName="21" name="EXPECTED DECLINING BALANCE OA" queryTableFieldId="20" dataDxfId="53">
      <calculatedColumnFormula>V22-Table_Query_from_MS_Access_Database_1[TOTAL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W49" tableType="queryTable" totalsRowShown="0" headerRowDxfId="52" headerRowBorderDxfId="51" tableBorderDxfId="50" totalsRowBorderDxfId="49" headerRowCellStyle="Comma" dataCellStyle="Comma">
  <autoFilter ref="A11:W49"/>
  <tableColumns count="23">
    <tableColumn id="10" uniqueName="10" name="Transaction Year" queryTableFieldId="1" dataDxfId="48" dataCellStyle="Comma"/>
    <tableColumn id="11" uniqueName="11" name="Transaction Type" queryTableFieldId="2" dataDxfId="47" dataCellStyle="Comma"/>
    <tableColumn id="12" uniqueName="12" name="Number" queryTableFieldId="3" dataDxfId="46" dataCellStyle="Comma"/>
    <tableColumn id="13" uniqueName="13" name="From" queryTableFieldId="4" dataDxfId="45" dataCellStyle="Comma"/>
    <tableColumn id="14" uniqueName="14" name="To" queryTableFieldId="5" dataDxfId="44" dataCellStyle="Comma"/>
    <tableColumn id="15" uniqueName="15" name="Repayment Year" queryTableFieldId="6" dataDxfId="43" dataCellStyle="Comma"/>
    <tableColumn id="16" uniqueName="16" name="Project8" queryTableFieldId="7" dataDxfId="42" dataCellStyle="Comma"/>
    <tableColumn id="17" uniqueName="17" name="Notes" queryTableFieldId="8" dataDxfId="41" dataCellStyle="Comma"/>
    <tableColumn id="18" uniqueName="18" name="Total" queryTableFieldId="9" dataDxfId="40" dataCellStyle="Comma"/>
    <tableColumn id="19" uniqueName="19" name="CMAQ" queryTableFieldId="10" dataDxfId="39" dataCellStyle="Comma"/>
    <tableColumn id="20" uniqueName="20" name="CMAQ 25" queryTableFieldId="11" dataDxfId="38" dataCellStyle="Comma"/>
    <tableColumn id="21" uniqueName="21" name="HURF Exchange" queryTableFieldId="12" dataDxfId="37" dataCellStyle="Comma"/>
    <tableColumn id="22" uniqueName="22" name="HSIP" queryTableFieldId="13" dataDxfId="36" dataCellStyle="Comma"/>
    <tableColumn id="23" uniqueName="23" name="PLAN" queryTableFieldId="14" dataDxfId="35" dataCellStyle="Comma"/>
    <tableColumn id="24" uniqueName="24" name="SPR" queryTableFieldId="15" dataDxfId="34" dataCellStyle="Comma"/>
    <tableColumn id="25" uniqueName="25" name="STP &lt;5" queryTableFieldId="16" dataDxfId="33" dataCellStyle="Comma"/>
    <tableColumn id="26" uniqueName="26" name="STP 5-2" queryTableFieldId="17" dataDxfId="32" dataCellStyle="Comma"/>
    <tableColumn id="27" uniqueName="27" name="STP FLEX" queryTableFieldId="18" dataDxfId="31" dataCellStyle="Comma"/>
    <tableColumn id="28" uniqueName="28" name="STP &gt;200" queryTableFieldId="19" dataDxfId="30" dataCellStyle="Comma"/>
    <tableColumn id="29" uniqueName="29" name="TAP FLEX" queryTableFieldId="20" dataDxfId="29" dataCellStyle="Comma"/>
    <tableColumn id="30" uniqueName="30" name="TAP &gt;200" queryTableFieldId="21" dataDxfId="28" dataCellStyle="Comma"/>
    <tableColumn id="31" uniqueName="31" name="TAP &lt;5" queryTableFieldId="22" dataDxfId="27" dataCellStyle="Comma"/>
    <tableColumn id="32" uniqueName="32" name="TAP 5-2" queryTableFieldId="23" dataDxfId="26"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52:W90" tableType="queryTable" totalsRowShown="0" headerRowDxfId="25" dataDxfId="24" tableBorderDxfId="23" headerRowCellStyle="Comma" dataCellStyle="Comma">
  <autoFilter ref="A52:W90"/>
  <tableColumns count="23">
    <tableColumn id="18" uniqueName="18" name="Transaction Year" queryTableFieldId="1" dataDxfId="22" dataCellStyle="Comma"/>
    <tableColumn id="19" uniqueName="19" name="Transaction Type" queryTableFieldId="2" dataDxfId="21" dataCellStyle="Comma"/>
    <tableColumn id="20" uniqueName="20" name="Number" queryTableFieldId="3" dataDxfId="20" dataCellStyle="Comma"/>
    <tableColumn id="21" uniqueName="21" name="From" queryTableFieldId="4" dataDxfId="19" dataCellStyle="Comma"/>
    <tableColumn id="22" uniqueName="22" name="To" queryTableFieldId="5" dataDxfId="18" dataCellStyle="Comma"/>
    <tableColumn id="23" uniqueName="23" name="Repayment Year" queryTableFieldId="6" dataDxfId="17" dataCellStyle="Comma"/>
    <tableColumn id="24" uniqueName="24" name="Project8" queryTableFieldId="7" dataDxfId="16" dataCellStyle="Comma"/>
    <tableColumn id="25" uniqueName="25" name="Notes" queryTableFieldId="8" dataDxfId="15" dataCellStyle="Comma"/>
    <tableColumn id="26" uniqueName="26" name="Total" queryTableFieldId="9" dataDxfId="14" dataCellStyle="Comma"/>
    <tableColumn id="27" uniqueName="27" name="CMAQ" queryTableFieldId="10" dataDxfId="13" dataCellStyle="Comma"/>
    <tableColumn id="28" uniqueName="28" name="CMAQ 25" queryTableFieldId="11" dataDxfId="12" dataCellStyle="Comma"/>
    <tableColumn id="29" uniqueName="29" name="HURF Exchange" queryTableFieldId="12" dataDxfId="11" dataCellStyle="Comma"/>
    <tableColumn id="30" uniqueName="30" name="HSIP" queryTableFieldId="13" dataDxfId="10" dataCellStyle="Comma"/>
    <tableColumn id="31" uniqueName="31" name="PLAN" queryTableFieldId="14" dataDxfId="9" dataCellStyle="Comma"/>
    <tableColumn id="32" uniqueName="32" name="SPR" queryTableFieldId="15" dataDxfId="8" dataCellStyle="Comma"/>
    <tableColumn id="33" uniqueName="33" name="STP &lt;5" queryTableFieldId="16" dataDxfId="7" dataCellStyle="Comma"/>
    <tableColumn id="34" uniqueName="34" name="STP 5-2" queryTableFieldId="17" dataDxfId="6" dataCellStyle="Comma"/>
    <tableColumn id="35" uniqueName="35" name="STP FLEX" queryTableFieldId="18" dataDxfId="5" dataCellStyle="Comma"/>
    <tableColumn id="36" uniqueName="36" name="STP &gt;200" queryTableFieldId="19" dataDxfId="4" dataCellStyle="Comma"/>
    <tableColumn id="37" uniqueName="37" name="TAP FLEX" queryTableFieldId="20" dataDxfId="3" dataCellStyle="Comma"/>
    <tableColumn id="38" uniqueName="38" name="TAP &gt;200" queryTableFieldId="21" dataDxfId="2" dataCellStyle="Comma"/>
    <tableColumn id="39" uniqueName="39" name="TAP &lt;5" queryTableFieldId="22" dataDxfId="1" dataCellStyle="Comma"/>
    <tableColumn id="40" uniqueName="40" name="TAP 5-2" queryTableFieldId="23"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3"/>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
      <c r="A1" s="167" t="s">
        <v>118</v>
      </c>
      <c r="B1" s="167"/>
      <c r="C1" s="167"/>
      <c r="D1" s="167"/>
      <c r="E1" s="167"/>
      <c r="F1" s="167"/>
      <c r="J1" s="34"/>
      <c r="K1" s="35"/>
      <c r="L1" s="34"/>
      <c r="M1" s="49"/>
      <c r="N1" s="177" t="s">
        <v>79</v>
      </c>
      <c r="O1" s="177"/>
      <c r="P1" s="177"/>
      <c r="Q1" s="177"/>
      <c r="R1" s="177"/>
      <c r="S1" s="177"/>
      <c r="T1" s="177"/>
      <c r="U1" s="177"/>
    </row>
    <row r="2" spans="1:22" ht="17.25" customHeight="1" thickBot="1" x14ac:dyDescent="0.3">
      <c r="J2" s="34"/>
      <c r="K2" s="34"/>
      <c r="L2" s="34"/>
      <c r="M2" s="49"/>
      <c r="N2" s="174" t="s">
        <v>12</v>
      </c>
      <c r="O2" s="175"/>
      <c r="P2" s="175"/>
      <c r="Q2" s="175"/>
      <c r="R2" s="175"/>
      <c r="S2" s="175"/>
      <c r="T2" s="175"/>
      <c r="U2" s="176"/>
    </row>
    <row r="3" spans="1:22" ht="27.6" customHeight="1" x14ac:dyDescent="0.25">
      <c r="A3" s="170" t="s">
        <v>82</v>
      </c>
      <c r="B3" s="170"/>
      <c r="C3" s="170"/>
      <c r="D3" s="170"/>
      <c r="E3" s="37"/>
      <c r="F3" s="37"/>
      <c r="G3" s="37"/>
      <c r="J3" s="34"/>
      <c r="K3" s="85"/>
      <c r="L3" s="34"/>
      <c r="M3" s="66" t="s">
        <v>11</v>
      </c>
      <c r="N3" s="138" t="s">
        <v>186</v>
      </c>
      <c r="O3" s="73" t="s">
        <v>62</v>
      </c>
      <c r="P3" s="73" t="s">
        <v>178</v>
      </c>
      <c r="Q3" s="67" t="s">
        <v>57</v>
      </c>
      <c r="R3" s="67" t="s">
        <v>107</v>
      </c>
      <c r="S3" s="67" t="s">
        <v>113</v>
      </c>
      <c r="T3" s="67" t="s">
        <v>6</v>
      </c>
      <c r="U3" s="68" t="s">
        <v>10</v>
      </c>
      <c r="V3" s="120" t="s">
        <v>15</v>
      </c>
    </row>
    <row r="4" spans="1:22" ht="27" x14ac:dyDescent="0.25">
      <c r="A4" s="169" t="s">
        <v>196</v>
      </c>
      <c r="B4" s="169"/>
      <c r="C4" s="169"/>
      <c r="D4" s="169"/>
      <c r="E4" s="38"/>
      <c r="F4" s="38"/>
      <c r="G4" s="38"/>
      <c r="J4" s="34"/>
      <c r="K4" s="34"/>
      <c r="L4" s="34"/>
      <c r="M4" s="80" t="s">
        <v>115</v>
      </c>
      <c r="N4" s="123">
        <v>0</v>
      </c>
      <c r="O4" s="124">
        <v>0</v>
      </c>
      <c r="P4" s="124">
        <v>0</v>
      </c>
      <c r="Q4" s="93">
        <v>0</v>
      </c>
      <c r="R4" s="93">
        <v>0</v>
      </c>
      <c r="S4" s="93">
        <v>0</v>
      </c>
      <c r="T4" s="94">
        <v>0</v>
      </c>
      <c r="U4" s="125">
        <f>+SUM(Table1[[#This Row],[HSIP/3]:[STP other]])</f>
        <v>0</v>
      </c>
      <c r="V4" s="124">
        <v>0</v>
      </c>
    </row>
    <row r="5" spans="1:22" ht="27" x14ac:dyDescent="0.25">
      <c r="A5" s="90" t="s">
        <v>94</v>
      </c>
      <c r="C5" s="65">
        <v>43555</v>
      </c>
      <c r="J5" s="34"/>
      <c r="K5" s="34"/>
      <c r="L5" s="34"/>
      <c r="M5" s="81" t="s">
        <v>102</v>
      </c>
      <c r="N5" s="126">
        <v>0</v>
      </c>
      <c r="O5" s="127">
        <v>0</v>
      </c>
      <c r="P5" s="127">
        <v>123831</v>
      </c>
      <c r="Q5" s="94">
        <v>125000</v>
      </c>
      <c r="R5" s="94">
        <v>166427</v>
      </c>
      <c r="S5" s="94">
        <v>517718</v>
      </c>
      <c r="T5" s="94">
        <v>0</v>
      </c>
      <c r="U5" s="128">
        <f t="shared" ref="U5:U12" si="0">SUM(O5:T5)</f>
        <v>932976</v>
      </c>
      <c r="V5" s="127">
        <f>ROUND(+Table1[[#This Row],[Total]]*0.949,0)</f>
        <v>885394</v>
      </c>
    </row>
    <row r="6" spans="1:22" x14ac:dyDescent="0.25">
      <c r="J6" s="34"/>
      <c r="K6" s="34"/>
      <c r="L6" s="34"/>
      <c r="M6" s="81" t="s">
        <v>70</v>
      </c>
      <c r="N6" s="139">
        <f>SUMIFS(Table_Query_from_MS_Access_Database[[#All],[HURF Exchange]],Table_Query_from_MS_Access_Database[[#All],[Transaction Year]],"2019",Table_Query_from_MS_Access_Database[[#All],[Transaction Type]],"loan in")</f>
        <v>0</v>
      </c>
      <c r="O6" s="136">
        <f>SUMIFS(Table_Query_from_MS_Access_Database[[#All],[HSIP]],Table_Query_from_MS_Access_Database[[#All],[Transaction Year]],"2019",Table_Query_from_MS_Access_Database[[#All],[Transaction Type]],"loan in")</f>
        <v>0</v>
      </c>
      <c r="P6" s="129">
        <f>SUMIFS(Table_Query_from_MS_Access_Database[[#All],[PLAN]],Table_Query_from_MS_Access_Database[[#All],[Transaction Year]],"2019",Table_Query_from_MS_Access_Database[[#All],[Transaction Type]],"loan in")</f>
        <v>0</v>
      </c>
      <c r="Q6" s="129">
        <f>SUMIFS(Table_Query_from_MS_Access_Database[[#All],[SPR]],Table_Query_from_MS_Access_Database[[#All],[Transaction Year]],"2019",Table_Query_from_MS_Access_Database[[#All],[Transaction Type]],"loan in")</f>
        <v>0</v>
      </c>
      <c r="R6" s="129">
        <f>SUMIFS(Table_Query_from_MS_Access_Database[[#All],[STP &lt;5]],Table_Query_from_MS_Access_Database[[#All],[Transaction Year]],"2019",Table_Query_from_MS_Access_Database[[#All],[Transaction Type]],"loan in")</f>
        <v>0</v>
      </c>
      <c r="S6" s="129">
        <f>SUMIFS(Table_Query_from_MS_Access_Database[[#All],[STP 5-2]],Table_Query_from_MS_Access_Database[[#All],[Transaction Year]],"2019",Table_Query_from_MS_Access_Database[[#All],[Transaction Type]],"loan in")</f>
        <v>10000</v>
      </c>
      <c r="T6" s="129">
        <f>SUMIFS(Table_Query_from_MS_Access_Database[[#All],[STP FLEX]],Table_Query_from_MS_Access_Database[[#All],[Transaction Year]],"2019",Table_Query_from_MS_Access_Database[[#All],[Transaction Type]],"loan in")</f>
        <v>0</v>
      </c>
      <c r="U6" s="128">
        <f t="shared" si="0"/>
        <v>10000</v>
      </c>
      <c r="V6" s="130">
        <f>SUMIFS(Table_Query_from_MS_Access_Database_16[[#All],[Total]],Table_Query_from_MS_Access_Database_16[[#All],[Transaction Year]],"2019",Table_Query_from_MS_Access_Database_16[[#All],[Transaction Type]],"Loan In")</f>
        <v>10000</v>
      </c>
    </row>
    <row r="7" spans="1:22" x14ac:dyDescent="0.25">
      <c r="A7" s="40"/>
      <c r="J7" s="34"/>
      <c r="K7" s="34"/>
      <c r="L7" s="34"/>
      <c r="M7" s="81" t="s">
        <v>71</v>
      </c>
      <c r="N7" s="139">
        <f>SUMIFS(Table_Query_from_MS_Access_Database[[#All],[HURF Exchange]],Table_Query_from_MS_Access_Database[[#All],[Transaction Year]],"2019",Table_Query_from_MS_Access_Database[[#All],[Transaction Type]],"loan Out")</f>
        <v>0</v>
      </c>
      <c r="O7" s="136">
        <f>SUMIFS(Table_Query_from_MS_Access_Database[[#All],[HSIP]],Table_Query_from_MS_Access_Database[[#All],[Transaction Year]],"2019",Table_Query_from_MS_Access_Database[[#All],[Transaction Type]],"loan Out")</f>
        <v>0</v>
      </c>
      <c r="P7" s="129">
        <f>SUMIFS(Table_Query_from_MS_Access_Database[[#All],[PLAN]],Table_Query_from_MS_Access_Database[[#All],[Transaction Year]],"2019",Table_Query_from_MS_Access_Database[[#All],[Transaction Type]],"loan Out")</f>
        <v>0</v>
      </c>
      <c r="Q7" s="129">
        <f>SUMIFS(Table_Query_from_MS_Access_Database[[#All],[SPR]],Table_Query_from_MS_Access_Database[[#All],[Transaction Year]],"2019",Table_Query_from_MS_Access_Database[[#All],[Transaction Type]],"loan Out")</f>
        <v>0</v>
      </c>
      <c r="R7" s="129">
        <f>SUMIFS(Table_Query_from_MS_Access_Database[[#All],[STP &lt;5]],Table_Query_from_MS_Access_Database[[#All],[Transaction Year]],"2019",Table_Query_from_MS_Access_Database[[#All],[Transaction Type]],"loan Out")</f>
        <v>0</v>
      </c>
      <c r="S7" s="129">
        <f>SUMIFS(Table_Query_from_MS_Access_Database[[#All],[STP 5-2]],Table_Query_from_MS_Access_Database[[#All],[Transaction Year]],"2019",Table_Query_from_MS_Access_Database[[#All],[Transaction Type]],"loan Out")</f>
        <v>0</v>
      </c>
      <c r="T7" s="129">
        <f>SUMIFS(Table_Query_from_MS_Access_Database[[#All],[STP FLEX]],Table_Query_from_MS_Access_Database[[#All],[Transaction Year]],"2019",Table_Query_from_MS_Access_Database[[#All],[Transaction Type]],"loan Out")</f>
        <v>0</v>
      </c>
      <c r="U7" s="128">
        <f t="shared" si="0"/>
        <v>0</v>
      </c>
      <c r="V7" s="130">
        <f>SUMIFS(Table_Query_from_MS_Access_Database_16[[#All],[Total]],Table_Query_from_MS_Access_Database_16[[#All],[Transaction Year]],"2019",Table_Query_from_MS_Access_Database_16[[#All],[Transaction Type]],"Loan Out")</f>
        <v>0</v>
      </c>
    </row>
    <row r="8" spans="1:22" x14ac:dyDescent="0.25">
      <c r="J8" s="34"/>
      <c r="K8" s="34"/>
      <c r="L8" s="34"/>
      <c r="M8" s="80" t="s">
        <v>72</v>
      </c>
      <c r="N8" s="139">
        <f>SUMIFS(Table_Query_from_MS_Access_Database[[#All],[HURF Exchange]],Table_Query_from_MS_Access_Database[[#All],[Transaction Year]],"2019",Table_Query_from_MS_Access_Database[[#All],[Transaction Type]],"repayment in")</f>
        <v>0</v>
      </c>
      <c r="O8" s="136">
        <f>SUMIFS(Table_Query_from_MS_Access_Database[[#All],[HSIP]],Table_Query_from_MS_Access_Database[[#All],[Transaction Year]],"2019",Table_Query_from_MS_Access_Database[[#All],[Transaction Type]],"repayment in")</f>
        <v>0</v>
      </c>
      <c r="P8" s="129">
        <f>SUMIFS(Table_Query_from_MS_Access_Database[[#All],[PLAN]],Table_Query_from_MS_Access_Database[[#All],[Transaction Year]],"2019",Table_Query_from_MS_Access_Database[[#All],[Transaction Type]],"repayment in")</f>
        <v>0</v>
      </c>
      <c r="Q8" s="129">
        <f>SUMIFS(Table_Query_from_MS_Access_Database[[#All],[SPR]],Table_Query_from_MS_Access_Database[[#All],[Transaction Year]],"2019",Table_Query_from_MS_Access_Database[[#All],[Transaction Type]],"repayment in")</f>
        <v>0</v>
      </c>
      <c r="R8" s="129">
        <f>SUMIFS(Table_Query_from_MS_Access_Database[[#All],[STP &lt;5]],Table_Query_from_MS_Access_Database[[#All],[Transaction Year]],"2019",Table_Query_from_MS_Access_Database[[#All],[Transaction Type]],"repayment in")</f>
        <v>0</v>
      </c>
      <c r="S8" s="129">
        <f>SUMIFS(Table_Query_from_MS_Access_Database[[#All],[STP 5-2]],Table_Query_from_MS_Access_Database[[#All],[Transaction Year]],"2019",Table_Query_from_MS_Access_Database[[#All],[Transaction Type]],"repayment in")</f>
        <v>0</v>
      </c>
      <c r="T8" s="129">
        <f>SUMIFS(Table_Query_from_MS_Access_Database[[#All],[STP FLEX]],Table_Query_from_MS_Access_Database[[#All],[Transaction Year]],"2019",Table_Query_from_MS_Access_Database[[#All],[Transaction Type]],"repayment in")</f>
        <v>0</v>
      </c>
      <c r="U8" s="128">
        <f t="shared" si="0"/>
        <v>0</v>
      </c>
      <c r="V8" s="130">
        <f>SUMIFS(Table_Query_from_MS_Access_Database_16[[#All],[Total]],Table_Query_from_MS_Access_Database_16[[#All],[Transaction Year]],"2019",Table_Query_from_MS_Access_Database_16[[#All],[Transaction Type]],"repayment In")</f>
        <v>0</v>
      </c>
    </row>
    <row r="9" spans="1:22" x14ac:dyDescent="0.25">
      <c r="A9" s="169" t="s">
        <v>88</v>
      </c>
      <c r="B9" s="169"/>
      <c r="C9" s="169"/>
      <c r="D9" s="169"/>
      <c r="E9" s="169"/>
      <c r="F9" s="169"/>
      <c r="G9" s="169"/>
      <c r="H9" s="169"/>
      <c r="I9" s="169"/>
      <c r="J9" s="169"/>
      <c r="K9" s="169"/>
      <c r="L9" s="169"/>
      <c r="M9" s="81" t="s">
        <v>73</v>
      </c>
      <c r="N9" s="139">
        <f>SUMIFS(Table_Query_from_MS_Access_Database[[#All],[HURF Exchange]],Table_Query_from_MS_Access_Database[[#All],[Transaction Year]],"2019",Table_Query_from_MS_Access_Database[[#All],[Transaction Type]],"repayment Out")</f>
        <v>0</v>
      </c>
      <c r="O9" s="136">
        <f>SUMIFS(Table_Query_from_MS_Access_Database[[#All],[HSIP]],Table_Query_from_MS_Access_Database[[#All],[Transaction Year]],"2019",Table_Query_from_MS_Access_Database[[#All],[Transaction Type]],"repayment Out")</f>
        <v>0</v>
      </c>
      <c r="P9" s="129">
        <f>SUMIFS(Table_Query_from_MS_Access_Database[[#All],[PLAN]],Table_Query_from_MS_Access_Database[[#All],[Transaction Year]],"2019",Table_Query_from_MS_Access_Database[[#All],[Transaction Type]],"repayment Out")</f>
        <v>0</v>
      </c>
      <c r="Q9" s="129">
        <f>SUMIFS(Table_Query_from_MS_Access_Database[[#All],[SPR]],Table_Query_from_MS_Access_Database[[#All],[Transaction Year]],"2019",Table_Query_from_MS_Access_Database[[#All],[Transaction Type]],"repayment Out")</f>
        <v>0</v>
      </c>
      <c r="R9" s="129">
        <f>SUMIFS(Table_Query_from_MS_Access_Database[[#All],[STP &lt;5]],Table_Query_from_MS_Access_Database[[#All],[Transaction Year]],"2019",Table_Query_from_MS_Access_Database[[#All],[Transaction Type]],"repayment Out")</f>
        <v>-158600</v>
      </c>
      <c r="S9" s="129">
        <f>SUMIFS(Table_Query_from_MS_Access_Database[[#All],[STP 5-2]],Table_Query_from_MS_Access_Database[[#All],[Transaction Year]],"2019",Table_Query_from_MS_Access_Database[[#All],[Transaction Type]],"repayment Out")</f>
        <v>-491400</v>
      </c>
      <c r="T9" s="129">
        <f>SUMIFS(Table_Query_from_MS_Access_Database[[#All],[STP FLEX]],Table_Query_from_MS_Access_Database[[#All],[Transaction Year]],"2019",Table_Query_from_MS_Access_Database[[#All],[Transaction Type]],"repayment Out")</f>
        <v>0</v>
      </c>
      <c r="U9" s="128">
        <f t="shared" si="0"/>
        <v>-650000</v>
      </c>
      <c r="V9" s="130">
        <f>SUMIFS(Table_Query_from_MS_Access_Database_16[[#All],[Total]],Table_Query_from_MS_Access_Database_16[[#All],[Transaction Year]],"2019",Table_Query_from_MS_Access_Database_16[[#All],[Transaction Type]],"Repayment Out")</f>
        <v>-650000</v>
      </c>
    </row>
    <row r="10" spans="1:22" x14ac:dyDescent="0.25">
      <c r="J10" s="34"/>
      <c r="K10" s="34"/>
      <c r="L10" s="34"/>
      <c r="M10" s="81" t="s">
        <v>74</v>
      </c>
      <c r="N10" s="139">
        <f>SUMIFS(Table_Query_from_MS_Access_Database[[#All],[HURF Exchange]],Table_Query_from_MS_Access_Database[[#All],[Transaction Year]],"2019",Table_Query_from_MS_Access_Database[[#All],[Transaction Type]],"Transfer in")</f>
        <v>0</v>
      </c>
      <c r="O10" s="136">
        <f>SUMIFS(Table_Query_from_MS_Access_Database[[#All],[HSIP]],Table_Query_from_MS_Access_Database[[#All],[Transaction Year]],"2019",Table_Query_from_MS_Access_Database[[#All],[Transaction Type]],"Transfer in")</f>
        <v>0</v>
      </c>
      <c r="P10" s="129">
        <f>SUMIFS(Table_Query_from_MS_Access_Database[[#All],[PLAN]],Table_Query_from_MS_Access_Database[[#All],[Transaction Year]],"2019",Table_Query_from_MS_Access_Database[[#All],[Transaction Type]],"Transfer in")</f>
        <v>0</v>
      </c>
      <c r="Q10" s="129">
        <f>SUMIFS(Table_Query_from_MS_Access_Database[[#All],[SPR]],Table_Query_from_MS_Access_Database[[#All],[Transaction Year]],"2019",Table_Query_from_MS_Access_Database[[#All],[Transaction Type]],"Transfer in")</f>
        <v>0</v>
      </c>
      <c r="R10" s="129">
        <f>SUMIFS(Table_Query_from_MS_Access_Database[[#All],[STP &lt;5]],Table_Query_from_MS_Access_Database[[#All],[Transaction Year]],"2019",Table_Query_from_MS_Access_Database[[#All],[Transaction Type]],"Transfer in")</f>
        <v>0</v>
      </c>
      <c r="S10" s="129">
        <f>SUMIFS(Table_Query_from_MS_Access_Database[[#All],[STP 5-2]],Table_Query_from_MS_Access_Database[[#All],[Transaction Year]],"2019",Table_Query_from_MS_Access_Database[[#All],[Transaction Type]],"Transfer in")</f>
        <v>0</v>
      </c>
      <c r="T10" s="129">
        <f>SUMIFS(Table_Query_from_MS_Access_Database[[#All],[STP FLEX]],Table_Query_from_MS_Access_Database[[#All],[Transaction Year]],"2019",Table_Query_from_MS_Access_Database[[#All],[Transaction Type]],"Transfer in")</f>
        <v>0</v>
      </c>
      <c r="U10" s="128">
        <f t="shared" si="0"/>
        <v>0</v>
      </c>
      <c r="V10" s="130">
        <f>SUMIFS(Table_Query_from_MS_Access_Database_16[[#All],[Total]],Table_Query_from_MS_Access_Database_16[[#All],[Transaction Year]],"2019",Table_Query_from_MS_Access_Database_16[[#All],[Transaction Type]],"Transfer In")</f>
        <v>0</v>
      </c>
    </row>
    <row r="11" spans="1:22" x14ac:dyDescent="0.25">
      <c r="F11" s="41"/>
      <c r="G11" s="41"/>
      <c r="J11" s="34"/>
      <c r="K11" s="34"/>
      <c r="L11" s="34"/>
      <c r="M11" s="81" t="s">
        <v>75</v>
      </c>
      <c r="N11" s="139">
        <f>SUMIFS(Table_Query_from_MS_Access_Database[[#All],[HURF Exchange]],Table_Query_from_MS_Access_Database[[#All],[Transaction Year]],"2019",Table_Query_from_MS_Access_Database[[#All],[Transaction Type]],"Transfer Out")</f>
        <v>0</v>
      </c>
      <c r="O11" s="136">
        <f>SUMIFS(Table_Query_from_MS_Access_Database[[#All],[HSIP]],Table_Query_from_MS_Access_Database[[#All],[Transaction Year]],"2019",Table_Query_from_MS_Access_Database[[#All],[Transaction Type]],"Transfer Out")</f>
        <v>0</v>
      </c>
      <c r="P11" s="129">
        <f>SUMIFS(Table_Query_from_MS_Access_Database[[#All],[PLAN]],Table_Query_from_MS_Access_Database[[#All],[Transaction Year]],"2019",Table_Query_from_MS_Access_Database[[#All],[Transaction Type]],"Transfer Out")</f>
        <v>0</v>
      </c>
      <c r="Q11" s="129">
        <f>SUMIFS(Table_Query_from_MS_Access_Database[[#All],[SPR]],Table_Query_from_MS_Access_Database[[#All],[Transaction Year]],"2019",Table_Query_from_MS_Access_Database[[#All],[Transaction Type]],"Transfer Out")</f>
        <v>0</v>
      </c>
      <c r="R11" s="129">
        <f>SUMIFS(Table_Query_from_MS_Access_Database[[#All],[STP &lt;5]],Table_Query_from_MS_Access_Database[[#All],[Transaction Year]],"2019",Table_Query_from_MS_Access_Database[[#All],[Transaction Type]],"Transfer Out")</f>
        <v>0</v>
      </c>
      <c r="S11" s="129">
        <f>SUMIFS(Table_Query_from_MS_Access_Database[[#All],[STP 5-2]],Table_Query_from_MS_Access_Database[[#All],[Transaction Year]],"2019",Table_Query_from_MS_Access_Database[[#All],[Transaction Type]],"Transfer Out")</f>
        <v>0</v>
      </c>
      <c r="T11" s="129">
        <f>SUMIFS(Table_Query_from_MS_Access_Database[[#All],[STP FLEX]],Table_Query_from_MS_Access_Database[[#All],[Transaction Year]],"2019",Table_Query_from_MS_Access_Database[[#All],[Transaction Type]],"Transfer Out")</f>
        <v>0</v>
      </c>
      <c r="U11" s="128">
        <f t="shared" si="0"/>
        <v>0</v>
      </c>
      <c r="V11" s="130">
        <f>SUMIFS(Table_Query_from_MS_Access_Database_16[[#All],[Total]],Table_Query_from_MS_Access_Database_16[[#All],[Transaction Year]],"2019",Table_Query_from_MS_Access_Database_16[[#All],[Transaction Type]],"Transfer Out")</f>
        <v>0</v>
      </c>
    </row>
    <row r="12" spans="1:22" ht="54" x14ac:dyDescent="0.25">
      <c r="J12" s="34"/>
      <c r="K12" s="34"/>
      <c r="L12" s="34"/>
      <c r="M12" s="82" t="s">
        <v>114</v>
      </c>
      <c r="N12" s="140">
        <f t="shared" ref="N12" si="1">SUM(N4:N11)</f>
        <v>0</v>
      </c>
      <c r="O12" s="137">
        <f t="shared" ref="O12:T12" si="2">SUM(O4:O11)</f>
        <v>0</v>
      </c>
      <c r="P12" s="131">
        <f t="shared" si="2"/>
        <v>123831</v>
      </c>
      <c r="Q12" s="131">
        <f t="shared" si="2"/>
        <v>125000</v>
      </c>
      <c r="R12" s="131">
        <f t="shared" si="2"/>
        <v>7827</v>
      </c>
      <c r="S12" s="131">
        <f t="shared" si="2"/>
        <v>36318</v>
      </c>
      <c r="T12" s="131">
        <f t="shared" si="2"/>
        <v>0</v>
      </c>
      <c r="U12" s="132">
        <f t="shared" si="0"/>
        <v>292976</v>
      </c>
      <c r="V12" s="133">
        <f>SUM(V4:V11)</f>
        <v>245394</v>
      </c>
    </row>
    <row r="13" spans="1:22" x14ac:dyDescent="0.25">
      <c r="J13" s="34"/>
      <c r="K13" s="34"/>
      <c r="L13" s="34"/>
      <c r="M13" s="34"/>
      <c r="N13" s="42"/>
      <c r="O13" s="43"/>
      <c r="P13" s="43"/>
      <c r="Q13" s="43"/>
      <c r="R13" s="43"/>
      <c r="S13" s="43"/>
      <c r="T13" s="39"/>
    </row>
    <row r="14" spans="1:22" ht="15.75" customHeight="1" x14ac:dyDescent="0.25">
      <c r="A14" s="168" t="s">
        <v>63</v>
      </c>
      <c r="B14" s="168"/>
      <c r="C14" s="168"/>
      <c r="D14" s="168"/>
      <c r="J14" s="171" t="s">
        <v>64</v>
      </c>
      <c r="K14" s="172"/>
      <c r="L14" s="172"/>
      <c r="M14" s="173"/>
      <c r="N14" s="44"/>
      <c r="R14" s="45"/>
      <c r="S14" s="45"/>
      <c r="T14" s="45"/>
    </row>
    <row r="15" spans="1:22" s="48" customFormat="1" ht="27" x14ac:dyDescent="0.25">
      <c r="A15" s="83" t="s">
        <v>1</v>
      </c>
      <c r="B15" s="83" t="s">
        <v>0</v>
      </c>
      <c r="C15" s="83" t="s">
        <v>3</v>
      </c>
      <c r="D15" s="83" t="s">
        <v>85</v>
      </c>
      <c r="E15" s="83" t="s">
        <v>2</v>
      </c>
      <c r="F15" s="83" t="s">
        <v>47</v>
      </c>
      <c r="G15" s="83" t="s">
        <v>48</v>
      </c>
      <c r="H15" s="83" t="s">
        <v>49</v>
      </c>
      <c r="I15" s="83" t="s">
        <v>111</v>
      </c>
      <c r="J15" s="77" t="s">
        <v>50</v>
      </c>
      <c r="K15" s="77" t="s">
        <v>51</v>
      </c>
      <c r="L15" s="83" t="s">
        <v>52</v>
      </c>
      <c r="M15" s="83" t="s">
        <v>53</v>
      </c>
      <c r="N15" s="117" t="s">
        <v>186</v>
      </c>
      <c r="O15" s="83" t="s">
        <v>4</v>
      </c>
      <c r="P15" s="83" t="s">
        <v>43</v>
      </c>
      <c r="Q15" s="84" t="s">
        <v>5</v>
      </c>
      <c r="R15" s="84" t="s">
        <v>107</v>
      </c>
      <c r="S15" s="84" t="s">
        <v>187</v>
      </c>
      <c r="T15" s="84" t="s">
        <v>6</v>
      </c>
      <c r="U15" s="77" t="s">
        <v>86</v>
      </c>
      <c r="V15" s="77" t="s">
        <v>93</v>
      </c>
    </row>
    <row r="16" spans="1:22" s="51" customFormat="1" ht="13.5" x14ac:dyDescent="0.25">
      <c r="A16" s="51" t="s">
        <v>175</v>
      </c>
      <c r="C16" s="51" t="s">
        <v>121</v>
      </c>
      <c r="D16" s="51" t="s">
        <v>8</v>
      </c>
      <c r="E16" s="141" t="s">
        <v>176</v>
      </c>
      <c r="F16" s="141" t="s">
        <v>174</v>
      </c>
      <c r="G16" s="141" t="s">
        <v>110</v>
      </c>
      <c r="H16" s="141" t="s">
        <v>109</v>
      </c>
      <c r="I16" s="119" t="str">
        <f>CONCATENATE(Table_Query_from_MS_Access_Database8[RTE],Table_Query_from_MS_Access_Database8[SEC],Table_Query_from_MS_Access_Database8[SEQ])</f>
        <v>CYMP019</v>
      </c>
      <c r="J16" s="115">
        <v>43374</v>
      </c>
      <c r="K16" s="115">
        <v>43374</v>
      </c>
      <c r="L16" s="115">
        <v>43374</v>
      </c>
      <c r="M16" s="116">
        <v>43374</v>
      </c>
      <c r="N16" s="142"/>
      <c r="O16" s="142"/>
      <c r="P16" s="142">
        <v>93057.25</v>
      </c>
      <c r="Q16" s="143"/>
      <c r="R16" s="95"/>
      <c r="S16" s="95"/>
      <c r="T16" s="95"/>
      <c r="U16" s="95">
        <f>SUM(Table_Query_from_MS_Access_Database8[[#This Row],[HURF EX]:[STP other]])</f>
        <v>93057.25</v>
      </c>
      <c r="V16" s="144">
        <f>V12-Table_Query_from_MS_Access_Database8[TOTAL OF AMOUNT]</f>
        <v>152336.75</v>
      </c>
    </row>
    <row r="17" spans="1:22" s="51" customFormat="1" ht="13.5" x14ac:dyDescent="0.25">
      <c r="A17" s="149" t="s">
        <v>172</v>
      </c>
      <c r="B17" s="149"/>
      <c r="C17" s="149" t="s">
        <v>121</v>
      </c>
      <c r="D17" s="149" t="s">
        <v>8</v>
      </c>
      <c r="E17" s="153" t="s">
        <v>173</v>
      </c>
      <c r="F17" s="153" t="s">
        <v>174</v>
      </c>
      <c r="G17" s="153" t="s">
        <v>108</v>
      </c>
      <c r="H17" s="153" t="s">
        <v>109</v>
      </c>
      <c r="I17" s="152" t="str">
        <f>CONCATENATE(Table_Query_from_MS_Access_Database8[RTE],Table_Query_from_MS_Access_Database8[SEC],Table_Query_from_MS_Access_Database8[SEQ])</f>
        <v>CYMS019</v>
      </c>
      <c r="J17" s="116">
        <v>43374</v>
      </c>
      <c r="K17" s="116">
        <v>43374</v>
      </c>
      <c r="L17" s="116">
        <v>43374</v>
      </c>
      <c r="M17" s="116">
        <v>43374</v>
      </c>
      <c r="N17" s="142"/>
      <c r="O17" s="142"/>
      <c r="P17" s="142"/>
      <c r="Q17" s="142">
        <v>93750</v>
      </c>
      <c r="R17" s="144"/>
      <c r="S17" s="144"/>
      <c r="T17" s="144"/>
      <c r="U17" s="144">
        <f>SUM(Table_Query_from_MS_Access_Database8[[#This Row],[HURF EX]:[STP other]])</f>
        <v>93750</v>
      </c>
      <c r="V17" s="144">
        <f>V16-Table_Query_from_MS_Access_Database8[TOTAL OF AMOUNT]</f>
        <v>58586.75</v>
      </c>
    </row>
    <row r="18" spans="1:22" s="51" customFormat="1" ht="13.5" x14ac:dyDescent="0.25">
      <c r="A18" s="156" t="s">
        <v>175</v>
      </c>
      <c r="B18" s="156"/>
      <c r="C18" s="156" t="s">
        <v>121</v>
      </c>
      <c r="D18" s="156" t="s">
        <v>8</v>
      </c>
      <c r="E18" s="157" t="s">
        <v>176</v>
      </c>
      <c r="F18" s="157" t="s">
        <v>174</v>
      </c>
      <c r="G18" s="157" t="s">
        <v>110</v>
      </c>
      <c r="H18" s="157" t="s">
        <v>109</v>
      </c>
      <c r="I18" s="158" t="str">
        <f>CONCATENATE(Table_Query_from_MS_Access_Database8[RTE],Table_Query_from_MS_Access_Database8[SEC],Table_Query_from_MS_Access_Database8[SEQ])</f>
        <v>CYMP019</v>
      </c>
      <c r="J18" s="159">
        <v>43435</v>
      </c>
      <c r="K18" s="159">
        <v>43439</v>
      </c>
      <c r="L18" s="159">
        <v>43441</v>
      </c>
      <c r="M18" s="159">
        <v>43445</v>
      </c>
      <c r="N18" s="160"/>
      <c r="O18" s="160"/>
      <c r="P18" s="160">
        <v>31044.32</v>
      </c>
      <c r="Q18" s="160"/>
      <c r="R18" s="161"/>
      <c r="S18" s="161"/>
      <c r="T18" s="161"/>
      <c r="U18" s="161">
        <f>SUM(Table_Query_from_MS_Access_Database8[[#This Row],[HURF EX]:[STP other]])</f>
        <v>31044.32</v>
      </c>
      <c r="V18" s="144">
        <f>V17-Table_Query_from_MS_Access_Database8[TOTAL OF AMOUNT]</f>
        <v>27542.43</v>
      </c>
    </row>
    <row r="19" spans="1:22" s="51" customFormat="1" ht="13.5" x14ac:dyDescent="0.25">
      <c r="A19" s="156" t="s">
        <v>207</v>
      </c>
      <c r="B19" s="156"/>
      <c r="C19" s="156" t="s">
        <v>121</v>
      </c>
      <c r="D19" s="156" t="s">
        <v>8</v>
      </c>
      <c r="E19" s="157" t="s">
        <v>208</v>
      </c>
      <c r="F19" s="157" t="s">
        <v>174</v>
      </c>
      <c r="G19" s="157" t="s">
        <v>110</v>
      </c>
      <c r="H19" s="157" t="s">
        <v>209</v>
      </c>
      <c r="I19" s="158" t="str">
        <f>CONCATENATE(Table_Query_from_MS_Access_Database8[RTE],Table_Query_from_MS_Access_Database8[SEC],Table_Query_from_MS_Access_Database8[SEQ])</f>
        <v>CYMP018</v>
      </c>
      <c r="J19" s="159">
        <v>43435</v>
      </c>
      <c r="K19" s="159">
        <v>43440</v>
      </c>
      <c r="L19" s="159">
        <v>43441</v>
      </c>
      <c r="M19" s="159">
        <v>43445</v>
      </c>
      <c r="N19" s="160"/>
      <c r="O19" s="160"/>
      <c r="P19" s="160">
        <v>-31044.32</v>
      </c>
      <c r="Q19" s="160"/>
      <c r="R19" s="161"/>
      <c r="S19" s="161"/>
      <c r="T19" s="161"/>
      <c r="U19" s="161">
        <f>SUM(Table_Query_from_MS_Access_Database8[[#This Row],[HURF EX]:[STP other]])</f>
        <v>-31044.32</v>
      </c>
      <c r="V19" s="144">
        <f>V18-Table_Query_from_MS_Access_Database8[TOTAL OF AMOUNT]</f>
        <v>58586.75</v>
      </c>
    </row>
    <row r="20" spans="1:22" s="51" customFormat="1" ht="13.5" x14ac:dyDescent="0.25">
      <c r="A20" s="156" t="s">
        <v>210</v>
      </c>
      <c r="B20" s="156" t="s">
        <v>211</v>
      </c>
      <c r="C20" s="156" t="s">
        <v>121</v>
      </c>
      <c r="D20" s="156" t="s">
        <v>8</v>
      </c>
      <c r="E20" s="157" t="s">
        <v>212</v>
      </c>
      <c r="F20" s="157" t="s">
        <v>174</v>
      </c>
      <c r="G20" s="157" t="s">
        <v>108</v>
      </c>
      <c r="H20" s="157" t="s">
        <v>209</v>
      </c>
      <c r="I20" s="158" t="str">
        <f>CONCATENATE(Table_Query_from_MS_Access_Database8[RTE],Table_Query_from_MS_Access_Database8[SEC],Table_Query_from_MS_Access_Database8[SEQ])</f>
        <v>CYMS018</v>
      </c>
      <c r="J20" s="159">
        <v>43405</v>
      </c>
      <c r="K20" s="159">
        <v>43434</v>
      </c>
      <c r="L20" s="159">
        <v>43446</v>
      </c>
      <c r="M20" s="159">
        <v>43451</v>
      </c>
      <c r="N20" s="160"/>
      <c r="O20" s="160"/>
      <c r="P20" s="160"/>
      <c r="Q20" s="160">
        <v>9659.51</v>
      </c>
      <c r="R20" s="161"/>
      <c r="S20" s="161"/>
      <c r="T20" s="161"/>
      <c r="U20" s="161">
        <f>SUM(Table_Query_from_MS_Access_Database8[[#This Row],[HURF EX]:[STP other]])</f>
        <v>9659.51</v>
      </c>
      <c r="V20" s="144">
        <f>V19-Table_Query_from_MS_Access_Database8[TOTAL OF AMOUNT]</f>
        <v>48927.24</v>
      </c>
    </row>
    <row r="21" spans="1:22" s="89" customFormat="1" ht="13.5" x14ac:dyDescent="0.25">
      <c r="A21" s="156" t="s">
        <v>213</v>
      </c>
      <c r="B21" s="156"/>
      <c r="C21" s="156" t="s">
        <v>121</v>
      </c>
      <c r="D21" s="156" t="s">
        <v>8</v>
      </c>
      <c r="E21" s="157" t="s">
        <v>214</v>
      </c>
      <c r="F21" s="157" t="s">
        <v>174</v>
      </c>
      <c r="G21" s="157" t="s">
        <v>108</v>
      </c>
      <c r="H21" s="157" t="s">
        <v>215</v>
      </c>
      <c r="I21" s="158" t="str">
        <f>CONCATENATE(Table_Query_from_MS_Access_Database8[RTE],Table_Query_from_MS_Access_Database8[SEC],Table_Query_from_MS_Access_Database8[SEQ])</f>
        <v>CYMS017</v>
      </c>
      <c r="J21" s="159">
        <v>43405</v>
      </c>
      <c r="K21" s="159">
        <v>43434</v>
      </c>
      <c r="L21" s="159">
        <v>43446</v>
      </c>
      <c r="M21" s="159">
        <v>43451</v>
      </c>
      <c r="N21" s="160"/>
      <c r="O21" s="160"/>
      <c r="P21" s="160"/>
      <c r="Q21" s="160">
        <v>-9659.51</v>
      </c>
      <c r="R21" s="161"/>
      <c r="S21" s="161"/>
      <c r="T21" s="161"/>
      <c r="U21" s="161">
        <f>SUM(Table_Query_from_MS_Access_Database8[[#This Row],[HURF EX]:[STP other]])</f>
        <v>-9659.51</v>
      </c>
      <c r="V21" s="144">
        <f>V20-Table_Query_from_MS_Access_Database8[TOTAL OF AMOUNT]</f>
        <v>58586.75</v>
      </c>
    </row>
    <row r="22" spans="1:22" s="89" customFormat="1" ht="27" x14ac:dyDescent="0.25">
      <c r="A22" s="156" t="s">
        <v>216</v>
      </c>
      <c r="B22" s="156" t="s">
        <v>217</v>
      </c>
      <c r="C22" s="156" t="s">
        <v>121</v>
      </c>
      <c r="D22" s="156" t="s">
        <v>21</v>
      </c>
      <c r="E22" s="157" t="s">
        <v>218</v>
      </c>
      <c r="F22" s="157" t="s">
        <v>174</v>
      </c>
      <c r="G22" s="157" t="s">
        <v>219</v>
      </c>
      <c r="H22" s="157" t="s">
        <v>220</v>
      </c>
      <c r="I22" s="158" t="str">
        <f>CONCATENATE(Table_Query_from_MS_Access_Database8[RTE],Table_Query_from_MS_Access_Database8[SEC],Table_Query_from_MS_Access_Database8[SEQ])</f>
        <v>CYM0203</v>
      </c>
      <c r="J22" s="159">
        <v>43453</v>
      </c>
      <c r="K22" s="159">
        <v>43453</v>
      </c>
      <c r="L22" s="159">
        <v>43454</v>
      </c>
      <c r="M22" s="159">
        <v>43479</v>
      </c>
      <c r="N22" s="160"/>
      <c r="O22" s="160">
        <v>-99881.88</v>
      </c>
      <c r="P22" s="160"/>
      <c r="Q22" s="160"/>
      <c r="R22" s="161"/>
      <c r="S22" s="161"/>
      <c r="T22" s="161"/>
      <c r="U22" s="161">
        <f>SUM(Table_Query_from_MS_Access_Database8[[#This Row],[HURF EX]:[STP other]])</f>
        <v>-99881.88</v>
      </c>
      <c r="V22" s="144">
        <f>V21-Table_Query_from_MS_Access_Database8[TOTAL OF AMOUNT]</f>
        <v>158468.63</v>
      </c>
    </row>
    <row r="23" spans="1:22" s="89" customFormat="1" ht="13.5" x14ac:dyDescent="0.25">
      <c r="A23" s="51"/>
      <c r="B23" s="51"/>
      <c r="C23" s="51"/>
      <c r="D23" s="51"/>
      <c r="E23" s="46"/>
      <c r="F23" s="46"/>
      <c r="G23" s="46"/>
      <c r="H23" s="46"/>
      <c r="I23" s="46"/>
      <c r="J23" s="46"/>
      <c r="K23" s="46"/>
      <c r="L23" s="46"/>
      <c r="M23" s="76" t="s">
        <v>77</v>
      </c>
      <c r="N23" s="96">
        <f>SUM(Table_Query_from_MS_Access_Database8[[#All],[HURF EX]])</f>
        <v>0</v>
      </c>
      <c r="O23" s="96">
        <f>SUM(Table_Query_from_MS_Access_Database8[[#All],[HSIP]])</f>
        <v>-99881.88</v>
      </c>
      <c r="P23" s="96">
        <f>SUM(Table_Query_from_MS_Access_Database8[[#All],[PL]])</f>
        <v>93057.25</v>
      </c>
      <c r="Q23" s="96">
        <f>SUM(Table_Query_from_MS_Access_Database8[[#All],[SPR]])</f>
        <v>93750</v>
      </c>
      <c r="R23" s="96">
        <f>SUM(Table_Query_from_MS_Access_Database8[[#All],[STP &lt;5]])</f>
        <v>0</v>
      </c>
      <c r="S23" s="96">
        <f>SUM(Table_Query_from_MS_Access_Database8[[#All],[STP 5-200]])</f>
        <v>0</v>
      </c>
      <c r="T23" s="96">
        <f>SUM(Table_Query_from_MS_Access_Database8[[#All],[STP other]])</f>
        <v>0</v>
      </c>
      <c r="U23" s="96">
        <f>SUM(Table_Query_from_MS_Access_Database8[[#All],[TOTAL OF AMOUNT]])</f>
        <v>86925.37</v>
      </c>
      <c r="V23" s="95"/>
    </row>
    <row r="24" spans="1:22" s="89" customFormat="1" ht="27" x14ac:dyDescent="0.25">
      <c r="E24" s="46"/>
      <c r="F24" s="46"/>
      <c r="G24" s="46"/>
      <c r="H24" s="46"/>
      <c r="I24" s="46"/>
      <c r="J24" s="46"/>
      <c r="K24" s="46"/>
      <c r="L24" s="46"/>
      <c r="M24" s="76" t="s">
        <v>76</v>
      </c>
      <c r="N24" s="96">
        <f t="shared" ref="N24:U24" si="3">+N12-N23</f>
        <v>0</v>
      </c>
      <c r="O24" s="96">
        <f t="shared" si="3"/>
        <v>99881.88</v>
      </c>
      <c r="P24" s="96">
        <f t="shared" si="3"/>
        <v>30773.75</v>
      </c>
      <c r="Q24" s="96">
        <f t="shared" si="3"/>
        <v>31250</v>
      </c>
      <c r="R24" s="96">
        <f t="shared" si="3"/>
        <v>7827</v>
      </c>
      <c r="S24" s="96">
        <f t="shared" si="3"/>
        <v>36318</v>
      </c>
      <c r="T24" s="96">
        <f t="shared" si="3"/>
        <v>0</v>
      </c>
      <c r="U24" s="96">
        <f t="shared" si="3"/>
        <v>206050.63</v>
      </c>
      <c r="V24" s="95"/>
    </row>
    <row r="25" spans="1:22" s="51" customFormat="1" ht="15" x14ac:dyDescent="0.25">
      <c r="A25" s="53"/>
      <c r="B25" s="53"/>
      <c r="C25" s="53"/>
      <c r="D25" s="53"/>
      <c r="E25" s="47"/>
      <c r="F25" s="47"/>
      <c r="G25" s="47"/>
      <c r="H25" s="47"/>
      <c r="I25" s="47"/>
      <c r="J25" s="47"/>
      <c r="K25" s="47"/>
      <c r="L25" s="47"/>
      <c r="M25" s="53"/>
      <c r="N25" s="53"/>
      <c r="O25" s="53"/>
      <c r="P25" s="53"/>
      <c r="Q25" s="53"/>
      <c r="R25" s="53"/>
      <c r="S25" s="45"/>
      <c r="V25" s="56"/>
    </row>
    <row r="26" spans="1:22" s="89" customFormat="1" ht="17.25" x14ac:dyDescent="0.3">
      <c r="A26" s="168" t="s">
        <v>35</v>
      </c>
      <c r="B26" s="168"/>
      <c r="C26" s="168"/>
      <c r="D26" s="168"/>
      <c r="E26" s="52"/>
      <c r="F26" s="52"/>
      <c r="G26" s="53"/>
      <c r="H26" s="53"/>
      <c r="I26" s="53"/>
      <c r="J26" s="55"/>
      <c r="K26" s="54"/>
      <c r="L26" s="54"/>
      <c r="M26" s="54"/>
      <c r="N26" s="54"/>
      <c r="O26" s="45"/>
      <c r="P26" s="45"/>
      <c r="Q26" s="47"/>
      <c r="R26" s="47"/>
      <c r="S26" s="45"/>
      <c r="T26" s="51"/>
      <c r="U26" s="51"/>
      <c r="V26" s="75"/>
    </row>
    <row r="27" spans="1:22" s="89" customFormat="1" ht="40.5" x14ac:dyDescent="0.25">
      <c r="A27" s="77" t="s">
        <v>1</v>
      </c>
      <c r="B27" s="77" t="s">
        <v>0</v>
      </c>
      <c r="C27" s="77" t="s">
        <v>3</v>
      </c>
      <c r="D27" s="77" t="s">
        <v>85</v>
      </c>
      <c r="E27" s="77" t="s">
        <v>2</v>
      </c>
      <c r="F27" s="77" t="s">
        <v>47</v>
      </c>
      <c r="G27" s="77" t="s">
        <v>48</v>
      </c>
      <c r="H27" s="77" t="s">
        <v>49</v>
      </c>
      <c r="I27" s="77" t="s">
        <v>111</v>
      </c>
      <c r="J27" s="77" t="s">
        <v>50</v>
      </c>
      <c r="K27" s="77" t="s">
        <v>51</v>
      </c>
      <c r="L27" s="77" t="s">
        <v>52</v>
      </c>
      <c r="M27" s="77" t="s">
        <v>53</v>
      </c>
      <c r="N27" s="77" t="s">
        <v>186</v>
      </c>
      <c r="O27" s="77" t="s">
        <v>4</v>
      </c>
      <c r="P27" s="77" t="s">
        <v>43</v>
      </c>
      <c r="Q27" s="77" t="s">
        <v>5</v>
      </c>
      <c r="R27" s="77" t="s">
        <v>107</v>
      </c>
      <c r="S27" s="77" t="s">
        <v>187</v>
      </c>
      <c r="T27" s="77" t="s">
        <v>54</v>
      </c>
      <c r="U27" s="77" t="s">
        <v>86</v>
      </c>
      <c r="V27" s="77" t="s">
        <v>55</v>
      </c>
    </row>
    <row r="28" spans="1:22" s="89" customFormat="1" ht="27" x14ac:dyDescent="0.25">
      <c r="A28" s="51" t="s">
        <v>221</v>
      </c>
      <c r="B28" s="51" t="s">
        <v>221</v>
      </c>
      <c r="C28" s="51" t="s">
        <v>121</v>
      </c>
      <c r="D28" s="51" t="s">
        <v>7</v>
      </c>
      <c r="E28" s="74" t="s">
        <v>222</v>
      </c>
      <c r="F28" s="118" t="s">
        <v>174</v>
      </c>
      <c r="G28" s="119" t="s">
        <v>219</v>
      </c>
      <c r="H28" s="119" t="s">
        <v>223</v>
      </c>
      <c r="I28" s="119" t="str">
        <f>CONCATENATE(Table_Query_from_MS_Access_Database_1[RTE],Table_Query_from_MS_Access_Database_1[SEC],Table_Query_from_MS_Access_Database_1[SEQ])</f>
        <v>CYM0TBD</v>
      </c>
      <c r="J28" s="147">
        <v>43617</v>
      </c>
      <c r="K28" s="147"/>
      <c r="L28" s="147"/>
      <c r="M28" s="148"/>
      <c r="N28" s="142"/>
      <c r="O28" s="142"/>
      <c r="P28" s="142"/>
      <c r="Q28" s="143"/>
      <c r="R28" s="95"/>
      <c r="S28" s="95">
        <v>10000</v>
      </c>
      <c r="T28" s="95"/>
      <c r="U28" s="95">
        <f>SUM(Table_Query_from_MS_Access_Database_1[[#This Row],[HURF EX]:[STP OTHER]])</f>
        <v>10000</v>
      </c>
      <c r="V28" s="144">
        <f>V22-Table_Query_from_MS_Access_Database_1[TOTAL OF AMOUNT]</f>
        <v>148468.63</v>
      </c>
    </row>
    <row r="29" spans="1:22" s="89" customFormat="1" ht="13.5" x14ac:dyDescent="0.25">
      <c r="A29" s="149" t="s">
        <v>201</v>
      </c>
      <c r="B29" s="149"/>
      <c r="C29" s="149" t="s">
        <v>121</v>
      </c>
      <c r="D29" s="149" t="s">
        <v>7</v>
      </c>
      <c r="E29" s="150" t="s">
        <v>202</v>
      </c>
      <c r="F29" s="151" t="s">
        <v>174</v>
      </c>
      <c r="G29" s="152" t="s">
        <v>108</v>
      </c>
      <c r="H29" s="152" t="s">
        <v>203</v>
      </c>
      <c r="I29" s="152" t="str">
        <f>CONCATENATE(Table_Query_from_MS_Access_Database_1[RTE],Table_Query_from_MS_Access_Database_1[SEC],Table_Query_from_MS_Access_Database_1[SEQ])</f>
        <v>CYMS020</v>
      </c>
      <c r="J29" s="148">
        <v>43617</v>
      </c>
      <c r="K29" s="148"/>
      <c r="L29" s="148"/>
      <c r="M29" s="148"/>
      <c r="N29" s="142"/>
      <c r="O29" s="142"/>
      <c r="P29" s="142"/>
      <c r="Q29" s="142">
        <v>31250</v>
      </c>
      <c r="R29" s="144"/>
      <c r="S29" s="144"/>
      <c r="T29" s="144"/>
      <c r="U29" s="144">
        <f>SUM(Table_Query_from_MS_Access_Database_1[[#This Row],[HURF EX]:[STP OTHER]])</f>
        <v>31250</v>
      </c>
      <c r="V29" s="144">
        <f>V28-Table_Query_from_MS_Access_Database_1[TOTAL OF AMOUNT]</f>
        <v>117218.63</v>
      </c>
    </row>
    <row r="30" spans="1:22" s="89" customFormat="1" ht="13.5" x14ac:dyDescent="0.25">
      <c r="A30" s="156" t="s">
        <v>204</v>
      </c>
      <c r="B30" s="156"/>
      <c r="C30" s="156" t="s">
        <v>121</v>
      </c>
      <c r="D30" s="156" t="s">
        <v>7</v>
      </c>
      <c r="E30" s="162" t="s">
        <v>205</v>
      </c>
      <c r="F30" s="163" t="s">
        <v>174</v>
      </c>
      <c r="G30" s="158" t="s">
        <v>110</v>
      </c>
      <c r="H30" s="158" t="s">
        <v>203</v>
      </c>
      <c r="I30" s="158" t="str">
        <f>CONCATENATE(Table_Query_from_MS_Access_Database_1[RTE],Table_Query_from_MS_Access_Database_1[SEC],Table_Query_from_MS_Access_Database_1[SEQ])</f>
        <v>CYMP020</v>
      </c>
      <c r="J30" s="164">
        <v>43617</v>
      </c>
      <c r="K30" s="164"/>
      <c r="L30" s="164"/>
      <c r="M30" s="164"/>
      <c r="N30" s="160"/>
      <c r="O30" s="160"/>
      <c r="P30" s="160">
        <v>30638.75</v>
      </c>
      <c r="Q30" s="160"/>
      <c r="R30" s="161"/>
      <c r="S30" s="161"/>
      <c r="T30" s="161"/>
      <c r="U30" s="161">
        <f>SUM(Table_Query_from_MS_Access_Database_1[[#This Row],[HURF EX]:[STP OTHER]])</f>
        <v>30638.75</v>
      </c>
      <c r="V30" s="144">
        <f>V29-Table_Query_from_MS_Access_Database_1[TOTAL OF AMOUNT]</f>
        <v>86579.88</v>
      </c>
    </row>
    <row r="31" spans="1:22" s="51" customFormat="1" ht="27" x14ac:dyDescent="0.25">
      <c r="A31" s="156" t="s">
        <v>224</v>
      </c>
      <c r="B31" s="156" t="s">
        <v>225</v>
      </c>
      <c r="C31" s="156" t="s">
        <v>226</v>
      </c>
      <c r="D31" s="156" t="s">
        <v>7</v>
      </c>
      <c r="E31" s="162" t="s">
        <v>227</v>
      </c>
      <c r="F31" s="163" t="s">
        <v>228</v>
      </c>
      <c r="G31" s="158" t="s">
        <v>219</v>
      </c>
      <c r="H31" s="158" t="s">
        <v>229</v>
      </c>
      <c r="I31" s="158" t="str">
        <f>CONCATENATE(Table_Query_from_MS_Access_Database_1[RTE],Table_Query_from_MS_Access_Database_1[SEC],Table_Query_from_MS_Access_Database_1[SEQ])</f>
        <v>0890HFX</v>
      </c>
      <c r="J31" s="164">
        <v>43617</v>
      </c>
      <c r="K31" s="164"/>
      <c r="L31" s="164"/>
      <c r="M31" s="164"/>
      <c r="N31" s="160">
        <v>350000</v>
      </c>
      <c r="O31" s="160"/>
      <c r="P31" s="160"/>
      <c r="Q31" s="160"/>
      <c r="R31" s="161"/>
      <c r="S31" s="161"/>
      <c r="T31" s="161"/>
      <c r="U31" s="161">
        <f>SUM(Table_Query_from_MS_Access_Database_1[[#This Row],[HURF EX]:[STP OTHER]])</f>
        <v>350000</v>
      </c>
      <c r="V31" s="144">
        <f>V30-Table_Query_from_MS_Access_Database_1[TOTAL OF AMOUNT]</f>
        <v>-263420.12</v>
      </c>
    </row>
    <row r="32" spans="1:22" s="51" customFormat="1" ht="13.5" x14ac:dyDescent="0.25">
      <c r="J32" s="56"/>
      <c r="K32" s="56"/>
      <c r="L32" s="56"/>
      <c r="M32" s="78" t="s">
        <v>87</v>
      </c>
      <c r="N32" s="145">
        <f>SUM(Table_Query_from_MS_Access_Database_1[[#All],[HURF EX]])</f>
        <v>350000</v>
      </c>
      <c r="O32" s="145">
        <f>SUM(Table_Query_from_MS_Access_Database_1[[#All],[HSIP]])</f>
        <v>0</v>
      </c>
      <c r="P32" s="145">
        <f>SUM(Table_Query_from_MS_Access_Database_1[[#All],[PL]])</f>
        <v>30638.75</v>
      </c>
      <c r="Q32" s="145">
        <f>SUM(Table_Query_from_MS_Access_Database_1[[#All],[SPR]])</f>
        <v>31250</v>
      </c>
      <c r="R32" s="145">
        <f>SUM(Table_Query_from_MS_Access_Database_1[[#All],[STP &lt;5]])</f>
        <v>0</v>
      </c>
      <c r="S32" s="145">
        <f>SUM(Table_Query_from_MS_Access_Database_1[[#All],[STP 5-200]])</f>
        <v>10000</v>
      </c>
      <c r="T32" s="145">
        <f>SUM(Table_Query_from_MS_Access_Database_1[[#All],[STP OTHER]])</f>
        <v>0</v>
      </c>
      <c r="U32" s="145">
        <f>SUM(Table_Query_from_MS_Access_Database_1[[#All],[TOTAL OF AMOUNT]])</f>
        <v>421888.75</v>
      </c>
      <c r="V32" s="146"/>
    </row>
    <row r="33" spans="1:22" s="51" customFormat="1" ht="27" x14ac:dyDescent="0.25">
      <c r="J33" s="56"/>
      <c r="K33" s="56"/>
      <c r="L33" s="56"/>
      <c r="M33" s="79" t="s">
        <v>76</v>
      </c>
      <c r="N33" s="96">
        <f t="shared" ref="N33:U33" si="4">+N24-N32</f>
        <v>-350000</v>
      </c>
      <c r="O33" s="96">
        <f t="shared" si="4"/>
        <v>99881.88</v>
      </c>
      <c r="P33" s="96">
        <f t="shared" si="4"/>
        <v>135</v>
      </c>
      <c r="Q33" s="96">
        <f t="shared" si="4"/>
        <v>0</v>
      </c>
      <c r="R33" s="96">
        <f t="shared" si="4"/>
        <v>7827</v>
      </c>
      <c r="S33" s="96">
        <f t="shared" si="4"/>
        <v>26318</v>
      </c>
      <c r="T33" s="96">
        <f t="shared" si="4"/>
        <v>0</v>
      </c>
      <c r="U33" s="96">
        <f t="shared" si="4"/>
        <v>-215838.12</v>
      </c>
      <c r="V33" s="95"/>
    </row>
    <row r="34" spans="1:22" s="48" customFormat="1" x14ac:dyDescent="0.25">
      <c r="J34" s="50"/>
      <c r="K34" s="50"/>
      <c r="L34" s="50"/>
      <c r="M34" s="50"/>
      <c r="N34" s="50">
        <f t="shared" ref="N34:U34" si="5">N23+N32</f>
        <v>350000</v>
      </c>
      <c r="O34" s="50">
        <f t="shared" si="5"/>
        <v>-99881.88</v>
      </c>
      <c r="P34" s="50">
        <f t="shared" si="5"/>
        <v>123696</v>
      </c>
      <c r="Q34" s="50">
        <f t="shared" si="5"/>
        <v>125000</v>
      </c>
      <c r="R34" s="50">
        <f t="shared" si="5"/>
        <v>0</v>
      </c>
      <c r="S34" s="50">
        <f t="shared" si="5"/>
        <v>10000</v>
      </c>
      <c r="T34" s="50">
        <f t="shared" si="5"/>
        <v>0</v>
      </c>
      <c r="U34" s="50">
        <f t="shared" si="5"/>
        <v>508814.12</v>
      </c>
      <c r="V34" s="51"/>
    </row>
    <row r="35" spans="1:22" s="48" customFormat="1" x14ac:dyDescent="0.25">
      <c r="J35" s="50"/>
      <c r="K35" s="50"/>
      <c r="L35" s="50"/>
      <c r="M35" s="50"/>
      <c r="N35" s="50"/>
      <c r="O35" s="50"/>
      <c r="P35" s="50"/>
      <c r="Q35" s="50"/>
      <c r="T35" s="56"/>
      <c r="U35" s="89"/>
      <c r="V35" s="51"/>
    </row>
    <row r="36" spans="1:22" s="51" customFormat="1" ht="17.25" x14ac:dyDescent="0.25">
      <c r="A36" s="57" t="s">
        <v>78</v>
      </c>
      <c r="B36" s="48"/>
      <c r="C36" s="48"/>
      <c r="D36" s="48"/>
      <c r="E36" s="48"/>
      <c r="F36" s="48"/>
      <c r="G36" s="48"/>
      <c r="H36" s="48"/>
      <c r="I36" s="48"/>
      <c r="J36" s="154" t="s">
        <v>206</v>
      </c>
      <c r="K36" s="50"/>
      <c r="L36" s="50"/>
      <c r="M36" s="50"/>
      <c r="N36" s="166" t="s">
        <v>60</v>
      </c>
      <c r="O36" s="166"/>
      <c r="P36" s="166"/>
      <c r="Q36" s="166"/>
      <c r="R36" s="52"/>
      <c r="S36" s="48"/>
      <c r="T36" s="56"/>
    </row>
    <row r="37" spans="1:22" s="51" customFormat="1" ht="13.5" x14ac:dyDescent="0.25">
      <c r="J37" s="155"/>
      <c r="K37" s="56"/>
      <c r="L37" s="56"/>
      <c r="M37" s="97"/>
      <c r="N37" s="122" t="s">
        <v>186</v>
      </c>
      <c r="O37" s="122" t="s">
        <v>4</v>
      </c>
      <c r="P37" s="122" t="s">
        <v>43</v>
      </c>
      <c r="Q37" s="122" t="s">
        <v>5</v>
      </c>
      <c r="R37" s="122" t="s">
        <v>107</v>
      </c>
      <c r="S37" s="122" t="s">
        <v>113</v>
      </c>
      <c r="T37" s="122" t="s">
        <v>54</v>
      </c>
      <c r="U37" s="122" t="s">
        <v>56</v>
      </c>
      <c r="V37" s="98" t="s">
        <v>61</v>
      </c>
    </row>
    <row r="38" spans="1:22" s="51" customFormat="1" ht="13.5" x14ac:dyDescent="0.25">
      <c r="J38" s="155"/>
      <c r="K38" s="56"/>
      <c r="L38" s="56"/>
      <c r="M38" s="91" t="s">
        <v>197</v>
      </c>
      <c r="N38" s="93">
        <f t="shared" ref="N38:S38" si="6">+N33</f>
        <v>-350000</v>
      </c>
      <c r="O38" s="93">
        <f t="shared" si="6"/>
        <v>99881.88</v>
      </c>
      <c r="P38" s="93">
        <f t="shared" si="6"/>
        <v>135</v>
      </c>
      <c r="Q38" s="93">
        <f t="shared" si="6"/>
        <v>0</v>
      </c>
      <c r="R38" s="93">
        <f t="shared" si="6"/>
        <v>7827</v>
      </c>
      <c r="S38" s="93">
        <f t="shared" si="6"/>
        <v>26318</v>
      </c>
      <c r="T38" s="93">
        <f t="shared" ref="T38" si="7">+T33</f>
        <v>0</v>
      </c>
      <c r="U38" s="93">
        <f>SUM(N38:T38)</f>
        <v>-215838.12</v>
      </c>
      <c r="V38" s="93">
        <f>V31</f>
        <v>-263420.12</v>
      </c>
    </row>
    <row r="39" spans="1:22" s="51" customFormat="1" ht="13.5" x14ac:dyDescent="0.25">
      <c r="J39" s="155"/>
      <c r="K39" s="56"/>
      <c r="L39" s="56"/>
      <c r="M39" s="91" t="s">
        <v>198</v>
      </c>
      <c r="N39" s="121">
        <f>SUMIFS(Table_Query_from_MS_Access_Database[[#All],[Total]],Table_Query_from_MS_Access_Database[[#All],[Transaction Year]],"2019",Table_Query_from_MS_Access_Database[[#All],[Transaction Type]],"Lapsing")</f>
        <v>0</v>
      </c>
      <c r="O39" s="121">
        <f>SUMIFS(Table_Query_from_MS_Access_Database[[#All],[Total]],Table_Query_from_MS_Access_Database[[#All],[Transaction Year]],"2019",Table_Query_from_MS_Access_Database[[#All],[Transaction Type]],"Lapsing")</f>
        <v>0</v>
      </c>
      <c r="P39" s="121">
        <f>SUMIFS(Table_Query_from_MS_Access_Database[[#All],[Total]],Table_Query_from_MS_Access_Database[[#All],[Transaction Year]],"2019",Table_Query_from_MS_Access_Database[[#All],[Transaction Type]],"Lapsing")</f>
        <v>0</v>
      </c>
      <c r="Q39" s="121">
        <f>SUMIFS(Table_Query_from_MS_Access_Database[[#All],[Total]],Table_Query_from_MS_Access_Database[[#All],[Transaction Year]],"2019",Table_Query_from_MS_Access_Database[[#All],[Transaction Type]],"Lapsing")</f>
        <v>0</v>
      </c>
      <c r="R39" s="121">
        <f>SUMIFS(Table_Query_from_MS_Access_Database[[#All],[Total]],Table_Query_from_MS_Access_Database[[#All],[Transaction Year]],"2019",Table_Query_from_MS_Access_Database[[#All],[Transaction Type]],"Lapsing")</f>
        <v>0</v>
      </c>
      <c r="S39" s="121">
        <f>SUMIFS(Table_Query_from_MS_Access_Database[[#All],[Total]],Table_Query_from_MS_Access_Database[[#All],[Transaction Year]],"2019",Table_Query_from_MS_Access_Database[[#All],[Transaction Type]],"Lapsing")</f>
        <v>0</v>
      </c>
      <c r="T39" s="121">
        <f>SUMIFS(Table_Query_from_MS_Access_Database[[#All],[Total]],Table_Query_from_MS_Access_Database[[#All],[Transaction Year]],"2019",Table_Query_from_MS_Access_Database[[#All],[Transaction Type]],"Lapsing")</f>
        <v>0</v>
      </c>
      <c r="U39" s="121">
        <f>SUMIFS(Table_Query_from_MS_Access_Database[[#All],[Total]],Table_Query_from_MS_Access_Database[[#All],[Transaction Year]],"2019",Table_Query_from_MS_Access_Database[[#All],[Transaction Type]],"Lapsing")</f>
        <v>0</v>
      </c>
      <c r="V39" s="121">
        <f>SUMIFS(Table_Query_from_MS_Access_Database_16[[#All],[To]],Table_Query_from_MS_Access_Database_16[[#All],[Transaction Year]],"2019",Table_Query_from_MS_Access_Database_16[[#All],[Transaction Type]],"Lapsing")</f>
        <v>0</v>
      </c>
    </row>
    <row r="40" spans="1:22" s="48" customFormat="1" x14ac:dyDescent="0.25">
      <c r="A40" s="51"/>
      <c r="B40" s="51"/>
      <c r="C40" s="51"/>
      <c r="D40" s="51"/>
      <c r="E40" s="51"/>
      <c r="F40" s="51"/>
      <c r="G40" s="51"/>
      <c r="H40" s="51"/>
      <c r="I40" s="51"/>
      <c r="J40" s="155"/>
      <c r="K40" s="56"/>
      <c r="L40" s="56"/>
      <c r="M40" s="91" t="s">
        <v>199</v>
      </c>
      <c r="N40" s="94">
        <f t="shared" ref="N40:P40" si="8">SUM(N38:N39)</f>
        <v>-350000</v>
      </c>
      <c r="O40" s="94">
        <f t="shared" ref="O40" si="9">SUM(O38:O39)</f>
        <v>99881.88</v>
      </c>
      <c r="P40" s="94">
        <f t="shared" si="8"/>
        <v>135</v>
      </c>
      <c r="Q40" s="94">
        <f t="shared" ref="Q40:R40" si="10">SUM(Q38:Q39)</f>
        <v>0</v>
      </c>
      <c r="R40" s="94">
        <f t="shared" si="10"/>
        <v>7827</v>
      </c>
      <c r="S40" s="94">
        <f t="shared" ref="S40:U40" si="11">SUM(S38:S39)</f>
        <v>26318</v>
      </c>
      <c r="T40" s="94">
        <f t="shared" ref="T40" si="12">SUM(T38:T39)</f>
        <v>0</v>
      </c>
      <c r="U40" s="94">
        <f t="shared" si="11"/>
        <v>-215838.12</v>
      </c>
      <c r="V40" s="94">
        <f>SUM(V38:V39)</f>
        <v>-263420.12</v>
      </c>
    </row>
    <row r="41" spans="1:22" s="48" customFormat="1" x14ac:dyDescent="0.25">
      <c r="A41" s="51"/>
      <c r="B41" s="51"/>
      <c r="C41" s="51"/>
      <c r="D41" s="51"/>
      <c r="E41" s="51"/>
      <c r="F41" s="51"/>
      <c r="G41" s="51"/>
      <c r="H41" s="51"/>
      <c r="I41" s="51"/>
      <c r="J41" s="155"/>
      <c r="K41" s="56"/>
      <c r="L41" s="56"/>
      <c r="M41" s="92" t="s">
        <v>200</v>
      </c>
      <c r="N41" s="121">
        <f t="shared" ref="N41:S41" si="13">+N38-N33</f>
        <v>0</v>
      </c>
      <c r="O41" s="121">
        <f t="shared" si="13"/>
        <v>0</v>
      </c>
      <c r="P41" s="121">
        <f t="shared" si="13"/>
        <v>0</v>
      </c>
      <c r="Q41" s="121">
        <f t="shared" si="13"/>
        <v>0</v>
      </c>
      <c r="R41" s="121">
        <f t="shared" si="13"/>
        <v>0</v>
      </c>
      <c r="S41" s="121">
        <f t="shared" si="13"/>
        <v>0</v>
      </c>
      <c r="T41" s="121">
        <f t="shared" ref="T41" si="14">+T38-T33</f>
        <v>0</v>
      </c>
      <c r="U41" s="121">
        <v>0</v>
      </c>
      <c r="V41" s="121">
        <v>0</v>
      </c>
    </row>
    <row r="42" spans="1:22" s="51" customFormat="1" x14ac:dyDescent="0.25">
      <c r="A42" s="48"/>
      <c r="B42" s="48"/>
      <c r="C42" s="48"/>
      <c r="D42" s="48"/>
      <c r="E42" s="48"/>
      <c r="F42" s="48"/>
      <c r="G42" s="48"/>
      <c r="H42" s="48"/>
      <c r="I42" s="48"/>
      <c r="J42" s="154"/>
      <c r="K42" s="50"/>
      <c r="L42" s="50"/>
      <c r="M42" s="50"/>
      <c r="N42" s="50"/>
      <c r="O42" s="50"/>
      <c r="P42" s="50"/>
      <c r="Q42" s="50"/>
      <c r="R42" s="48"/>
      <c r="S42" s="48"/>
    </row>
    <row r="43" spans="1:22" s="51" customFormat="1" x14ac:dyDescent="0.25">
      <c r="A43" s="33"/>
      <c r="B43" s="33"/>
      <c r="C43" s="33"/>
      <c r="D43" s="33"/>
      <c r="E43" s="33"/>
      <c r="F43" s="33"/>
      <c r="G43" s="33"/>
      <c r="H43" s="33"/>
      <c r="I43" s="33"/>
      <c r="J43" s="33"/>
      <c r="K43" s="33"/>
      <c r="L43" s="33"/>
      <c r="M43" s="33"/>
      <c r="N43" s="36"/>
      <c r="O43" s="36"/>
      <c r="P43" s="36"/>
      <c r="Q43" s="36"/>
      <c r="R43" s="36"/>
      <c r="S43" s="36"/>
      <c r="T43" s="36"/>
      <c r="U43" s="33"/>
      <c r="V43" s="33"/>
    </row>
  </sheetData>
  <sheetProtection autoFilter="0"/>
  <mergeCells count="10">
    <mergeCell ref="N36:Q36"/>
    <mergeCell ref="A1:F1"/>
    <mergeCell ref="A14:D14"/>
    <mergeCell ref="A9:L9"/>
    <mergeCell ref="A3:D3"/>
    <mergeCell ref="A4:D4"/>
    <mergeCell ref="J14:M14"/>
    <mergeCell ref="A26:D26"/>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M90"/>
  <sheetViews>
    <sheetView topLeftCell="A10" zoomScaleNormal="100" workbookViewId="0">
      <selection activeCell="E53" sqref="E53"/>
    </sheetView>
  </sheetViews>
  <sheetFormatPr defaultColWidth="19.7109375" defaultRowHeight="15" x14ac:dyDescent="0.25"/>
  <cols>
    <col min="1" max="1" width="16.28515625" style="25" customWidth="1"/>
    <col min="2" max="2" width="16.7109375" style="25" customWidth="1"/>
    <col min="3" max="3" width="19.28515625" style="25" customWidth="1"/>
    <col min="4" max="5" width="8.28515625" style="25" customWidth="1"/>
    <col min="6" max="6" width="16.28515625" style="25" customWidth="1"/>
    <col min="7" max="7" width="18.7109375" style="25" customWidth="1"/>
    <col min="8" max="8" width="42.7109375" style="26" customWidth="1"/>
    <col min="9" max="9" width="12.28515625" style="25" bestFit="1" customWidth="1"/>
    <col min="10" max="10" width="7.7109375" style="25" customWidth="1"/>
    <col min="11" max="11" width="10.28515625" style="25" customWidth="1"/>
    <col min="12" max="12" width="15.42578125" style="25" customWidth="1"/>
    <col min="13" max="13" width="12.28515625" style="25" bestFit="1" customWidth="1"/>
    <col min="14" max="15" width="11.28515625" style="25" bestFit="1" customWidth="1"/>
    <col min="16" max="16" width="10.28515625" style="25" bestFit="1" customWidth="1"/>
    <col min="17" max="17" width="11" style="25" bestFit="1" customWidth="1"/>
    <col min="18" max="19" width="12.28515625" style="25" bestFit="1" customWidth="1"/>
    <col min="20" max="21" width="12.5703125" style="25" bestFit="1" customWidth="1"/>
    <col min="22" max="22" width="10.5703125" style="25" bestFit="1" customWidth="1"/>
    <col min="23" max="23" width="11.28515625" style="25" bestFit="1" customWidth="1"/>
    <col min="24" max="24" width="10.140625" style="25" customWidth="1"/>
    <col min="25" max="25" width="10.7109375" style="25" customWidth="1"/>
    <col min="26" max="26" width="12.7109375" style="25" customWidth="1"/>
    <col min="27" max="27" width="16.5703125" style="25" customWidth="1"/>
    <col min="28" max="28" width="11.7109375" style="25" customWidth="1"/>
    <col min="29" max="29" width="15.7109375" style="25" customWidth="1"/>
    <col min="30" max="30" width="13.42578125" style="25" customWidth="1"/>
    <col min="31" max="31" width="15.7109375" style="25" customWidth="1"/>
    <col min="32" max="33" width="9.5703125" style="25" customWidth="1"/>
    <col min="34" max="34" width="11.85546875" style="25" customWidth="1"/>
    <col min="35" max="35" width="64.28515625" style="25" customWidth="1"/>
    <col min="36" max="36" width="14" style="25" customWidth="1"/>
    <col min="37" max="37" width="16.85546875" style="25" customWidth="1"/>
    <col min="38" max="38" width="12.140625" style="25" customWidth="1"/>
    <col min="39" max="39" width="16" style="25" customWidth="1"/>
    <col min="40" max="16384" width="19.7109375" style="9"/>
  </cols>
  <sheetData>
    <row r="1" spans="1:39" ht="18" x14ac:dyDescent="0.3">
      <c r="A1" s="178" t="str">
        <f>+'Federal Funds Transactions'!A1:F1</f>
        <v>Central Yavapai Metropolitan Planning Organization</v>
      </c>
      <c r="B1" s="178"/>
      <c r="C1" s="178"/>
      <c r="D1" s="178"/>
      <c r="E1" s="178"/>
      <c r="F1" s="178"/>
    </row>
    <row r="2" spans="1:39" ht="14.45" x14ac:dyDescent="0.3">
      <c r="A2" s="27"/>
      <c r="B2" s="27"/>
      <c r="C2" s="27"/>
      <c r="D2" s="27"/>
      <c r="E2" s="27"/>
      <c r="F2" s="27"/>
    </row>
    <row r="3" spans="1:39" ht="14.45" x14ac:dyDescent="0.3">
      <c r="A3" s="179" t="s">
        <v>84</v>
      </c>
      <c r="B3" s="179"/>
      <c r="C3" s="179"/>
      <c r="D3" s="179"/>
      <c r="E3" s="179"/>
      <c r="F3" s="179"/>
    </row>
    <row r="4" spans="1:39" ht="14.45" x14ac:dyDescent="0.3">
      <c r="A4" s="28"/>
      <c r="B4" s="28"/>
      <c r="C4" s="28"/>
      <c r="D4" s="28"/>
      <c r="E4" s="28"/>
      <c r="F4" s="28"/>
    </row>
    <row r="5" spans="1:39" ht="14.45" x14ac:dyDescent="0.3">
      <c r="A5" s="25" t="s">
        <v>83</v>
      </c>
      <c r="B5" s="64">
        <f>+'Federal Funds Transactions'!C5</f>
        <v>43555</v>
      </c>
      <c r="C5" s="27"/>
      <c r="D5" s="27"/>
      <c r="E5" s="27"/>
      <c r="F5" s="27"/>
    </row>
    <row r="6" spans="1:39" ht="14.45" x14ac:dyDescent="0.3">
      <c r="A6" s="27"/>
      <c r="B6" s="27"/>
      <c r="C6" s="27"/>
      <c r="D6" s="27"/>
      <c r="E6" s="27"/>
      <c r="F6" s="27"/>
    </row>
    <row r="7" spans="1:39" ht="15" customHeight="1" x14ac:dyDescent="0.3">
      <c r="A7" s="182" t="str">
        <f>+'Federal Funds Transactions'!A9:L9</f>
        <v>IMPORTANT! Please review the information in the Notes tab for further explanation of the data in this document.</v>
      </c>
      <c r="B7" s="182"/>
      <c r="C7" s="182"/>
      <c r="D7" s="182"/>
      <c r="E7" s="182"/>
      <c r="F7" s="182"/>
      <c r="G7" s="182"/>
      <c r="H7" s="182"/>
    </row>
    <row r="9" spans="1:39" ht="15.75" customHeight="1" x14ac:dyDescent="0.3">
      <c r="A9" s="180" t="s">
        <v>80</v>
      </c>
      <c r="B9" s="180"/>
      <c r="C9" s="180"/>
      <c r="D9" s="180"/>
      <c r="E9" s="180"/>
      <c r="F9" s="180"/>
      <c r="G9" s="180"/>
      <c r="M9" s="29"/>
      <c r="N9" s="29"/>
      <c r="O9" s="29"/>
      <c r="P9" s="29"/>
      <c r="Q9" s="29"/>
      <c r="R9" s="29"/>
      <c r="S9" s="29"/>
      <c r="T9" s="29"/>
      <c r="U9" s="29"/>
      <c r="V9" s="29"/>
      <c r="W9" s="29"/>
      <c r="X9" s="29"/>
      <c r="Y9" s="29"/>
      <c r="Z9" s="29"/>
      <c r="AA9" s="29"/>
      <c r="AB9" s="29"/>
      <c r="AC9" s="29"/>
      <c r="AD9" s="29"/>
      <c r="AE9" s="29"/>
      <c r="AF9" s="29"/>
      <c r="AG9" s="29"/>
      <c r="AH9" s="29"/>
      <c r="AI9" s="29"/>
      <c r="AJ9" s="29"/>
      <c r="AK9" s="29"/>
    </row>
    <row r="10" spans="1:39"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31"/>
      <c r="AM10" s="31"/>
    </row>
    <row r="11" spans="1:39" x14ac:dyDescent="0.25">
      <c r="A11" s="71" t="s">
        <v>44</v>
      </c>
      <c r="B11" s="72" t="s">
        <v>45</v>
      </c>
      <c r="C11" s="72" t="s">
        <v>13</v>
      </c>
      <c r="D11" s="72" t="s">
        <v>89</v>
      </c>
      <c r="E11" s="72" t="s">
        <v>90</v>
      </c>
      <c r="F11" s="72" t="s">
        <v>46</v>
      </c>
      <c r="G11" s="72" t="s">
        <v>91</v>
      </c>
      <c r="H11" s="72" t="s">
        <v>92</v>
      </c>
      <c r="I11" s="72" t="s">
        <v>10</v>
      </c>
      <c r="J11" s="72" t="s">
        <v>42</v>
      </c>
      <c r="K11" s="72" t="s">
        <v>177</v>
      </c>
      <c r="L11" s="72" t="s">
        <v>185</v>
      </c>
      <c r="M11" s="72" t="s">
        <v>4</v>
      </c>
      <c r="N11" s="72" t="s">
        <v>178</v>
      </c>
      <c r="O11" s="72" t="s">
        <v>5</v>
      </c>
      <c r="P11" s="72" t="s">
        <v>107</v>
      </c>
      <c r="Q11" s="72" t="s">
        <v>113</v>
      </c>
      <c r="R11" s="72" t="s">
        <v>179</v>
      </c>
      <c r="S11" s="72" t="s">
        <v>180</v>
      </c>
      <c r="T11" s="72" t="s">
        <v>181</v>
      </c>
      <c r="U11" s="72" t="s">
        <v>182</v>
      </c>
      <c r="V11" s="72" t="s">
        <v>183</v>
      </c>
      <c r="W11" s="72" t="s">
        <v>184</v>
      </c>
      <c r="X11" s="31"/>
      <c r="Y11" s="31"/>
      <c r="Z11" s="31"/>
      <c r="AA11" s="31"/>
      <c r="AB11" s="9"/>
      <c r="AC11" s="9"/>
      <c r="AD11" s="9"/>
      <c r="AE11" s="9"/>
      <c r="AF11" s="9"/>
      <c r="AG11" s="9"/>
      <c r="AH11" s="9"/>
      <c r="AI11" s="9"/>
      <c r="AJ11" s="9"/>
      <c r="AK11" s="9"/>
      <c r="AL11" s="9"/>
      <c r="AM11" s="9"/>
    </row>
    <row r="12" spans="1:39" x14ac:dyDescent="0.25">
      <c r="A12" s="60" t="s">
        <v>119</v>
      </c>
      <c r="B12" s="58" t="s">
        <v>95</v>
      </c>
      <c r="C12" s="58" t="s">
        <v>120</v>
      </c>
      <c r="D12" s="58" t="s">
        <v>121</v>
      </c>
      <c r="E12" s="58" t="s">
        <v>97</v>
      </c>
      <c r="F12" s="58" t="s">
        <v>122</v>
      </c>
      <c r="G12" s="58" t="s">
        <v>123</v>
      </c>
      <c r="H12" s="58" t="s">
        <v>124</v>
      </c>
      <c r="I12" s="58">
        <v>-600000</v>
      </c>
      <c r="J12" s="58"/>
      <c r="K12" s="58"/>
      <c r="L12" s="58"/>
      <c r="M12" s="59">
        <v>-600000</v>
      </c>
      <c r="N12" s="59"/>
      <c r="O12" s="134"/>
      <c r="P12" s="134"/>
      <c r="Q12" s="134"/>
      <c r="R12" s="134"/>
      <c r="S12" s="134"/>
      <c r="T12" s="134"/>
      <c r="U12" s="134"/>
      <c r="V12" s="134"/>
      <c r="W12" s="31"/>
      <c r="X12" s="69"/>
      <c r="Y12" s="69"/>
      <c r="Z12" s="69"/>
      <c r="AA12" s="69"/>
      <c r="AB12" s="9"/>
      <c r="AC12" s="9"/>
      <c r="AD12" s="9"/>
      <c r="AE12" s="9"/>
      <c r="AF12" s="9"/>
      <c r="AG12" s="9"/>
      <c r="AH12" s="9"/>
      <c r="AI12" s="9"/>
      <c r="AJ12" s="9"/>
      <c r="AK12" s="9"/>
      <c r="AL12" s="9"/>
      <c r="AM12" s="9"/>
    </row>
    <row r="13" spans="1:39" x14ac:dyDescent="0.25">
      <c r="A13" s="61" t="s">
        <v>119</v>
      </c>
      <c r="B13" s="59" t="s">
        <v>112</v>
      </c>
      <c r="C13" s="59" t="s">
        <v>125</v>
      </c>
      <c r="D13" s="59" t="s">
        <v>121</v>
      </c>
      <c r="E13" s="59" t="s">
        <v>97</v>
      </c>
      <c r="F13" s="59" t="s">
        <v>104</v>
      </c>
      <c r="G13" s="59" t="s">
        <v>126</v>
      </c>
      <c r="H13" s="59" t="s">
        <v>127</v>
      </c>
      <c r="I13" s="59">
        <v>-633000</v>
      </c>
      <c r="J13" s="59"/>
      <c r="K13" s="59"/>
      <c r="L13" s="59"/>
      <c r="M13" s="59"/>
      <c r="N13" s="59"/>
      <c r="O13" s="134"/>
      <c r="P13" s="134"/>
      <c r="Q13" s="134"/>
      <c r="R13" s="134">
        <v>-633000</v>
      </c>
      <c r="S13" s="134"/>
      <c r="T13" s="134"/>
      <c r="U13" s="134"/>
      <c r="V13" s="134"/>
      <c r="W13" s="31"/>
      <c r="X13" s="69"/>
      <c r="Y13" s="69"/>
      <c r="Z13" s="69"/>
      <c r="AA13" s="69"/>
      <c r="AB13" s="9"/>
      <c r="AC13" s="9"/>
      <c r="AD13" s="9"/>
      <c r="AE13" s="9"/>
      <c r="AF13" s="9"/>
      <c r="AG13" s="9"/>
      <c r="AH13" s="9"/>
      <c r="AI13" s="9"/>
      <c r="AJ13" s="9"/>
      <c r="AK13" s="9"/>
      <c r="AL13" s="9"/>
      <c r="AM13" s="9"/>
    </row>
    <row r="14" spans="1:39" x14ac:dyDescent="0.25">
      <c r="A14" s="61" t="s">
        <v>122</v>
      </c>
      <c r="B14" s="59" t="s">
        <v>96</v>
      </c>
      <c r="C14" s="59" t="s">
        <v>120</v>
      </c>
      <c r="D14" s="59" t="s">
        <v>97</v>
      </c>
      <c r="E14" s="59" t="s">
        <v>121</v>
      </c>
      <c r="F14" s="59" t="s">
        <v>122</v>
      </c>
      <c r="G14" s="59" t="s">
        <v>123</v>
      </c>
      <c r="H14" s="59" t="s">
        <v>128</v>
      </c>
      <c r="I14" s="59">
        <v>600000</v>
      </c>
      <c r="J14" s="59"/>
      <c r="K14" s="59"/>
      <c r="L14" s="59"/>
      <c r="M14" s="59">
        <v>600000</v>
      </c>
      <c r="N14" s="59"/>
      <c r="O14" s="134"/>
      <c r="P14" s="134"/>
      <c r="Q14" s="134"/>
      <c r="R14" s="134"/>
      <c r="S14" s="134"/>
      <c r="T14" s="134"/>
      <c r="U14" s="134"/>
      <c r="V14" s="134"/>
      <c r="W14" s="31"/>
      <c r="X14" s="69"/>
      <c r="Y14" s="69"/>
      <c r="Z14" s="69"/>
      <c r="AA14" s="69"/>
      <c r="AB14" s="9"/>
      <c r="AC14" s="9"/>
      <c r="AD14" s="9"/>
      <c r="AE14" s="9"/>
      <c r="AF14" s="9"/>
      <c r="AG14" s="9"/>
      <c r="AH14" s="9"/>
      <c r="AI14" s="9"/>
      <c r="AJ14" s="9"/>
      <c r="AK14" s="9"/>
      <c r="AL14" s="9"/>
      <c r="AM14" s="9"/>
    </row>
    <row r="15" spans="1:39" x14ac:dyDescent="0.25">
      <c r="A15" s="61" t="s">
        <v>122</v>
      </c>
      <c r="B15" s="59" t="s">
        <v>112</v>
      </c>
      <c r="C15" s="59" t="s">
        <v>129</v>
      </c>
      <c r="D15" s="59" t="s">
        <v>121</v>
      </c>
      <c r="E15" s="59" t="s">
        <v>97</v>
      </c>
      <c r="F15" s="59" t="s">
        <v>104</v>
      </c>
      <c r="G15" s="59" t="s">
        <v>126</v>
      </c>
      <c r="H15" s="59" t="s">
        <v>127</v>
      </c>
      <c r="I15" s="59">
        <v>-633000</v>
      </c>
      <c r="J15" s="59"/>
      <c r="K15" s="59"/>
      <c r="L15" s="59"/>
      <c r="M15" s="59"/>
      <c r="N15" s="59"/>
      <c r="O15" s="134"/>
      <c r="P15" s="134"/>
      <c r="Q15" s="134"/>
      <c r="R15" s="134">
        <v>-633000</v>
      </c>
      <c r="S15" s="134"/>
      <c r="T15" s="134"/>
      <c r="U15" s="134"/>
      <c r="V15" s="134"/>
      <c r="W15" s="31"/>
      <c r="X15" s="69"/>
      <c r="Y15" s="69"/>
      <c r="Z15" s="69"/>
      <c r="AA15" s="69"/>
      <c r="AB15" s="9"/>
      <c r="AC15" s="9"/>
      <c r="AD15" s="9"/>
      <c r="AE15" s="9"/>
      <c r="AF15" s="9"/>
      <c r="AG15" s="9"/>
      <c r="AH15" s="9"/>
      <c r="AI15" s="9"/>
      <c r="AJ15" s="9"/>
      <c r="AK15" s="9"/>
      <c r="AL15" s="9"/>
      <c r="AM15" s="9"/>
    </row>
    <row r="16" spans="1:39" x14ac:dyDescent="0.25">
      <c r="A16" s="61" t="s">
        <v>98</v>
      </c>
      <c r="B16" s="59" t="s">
        <v>103</v>
      </c>
      <c r="C16" s="59" t="s">
        <v>130</v>
      </c>
      <c r="D16" s="59" t="s">
        <v>121</v>
      </c>
      <c r="E16" s="59" t="s">
        <v>97</v>
      </c>
      <c r="F16" s="59" t="s">
        <v>104</v>
      </c>
      <c r="G16" s="59"/>
      <c r="H16" s="59" t="s">
        <v>131</v>
      </c>
      <c r="I16" s="59">
        <v>-156462.41</v>
      </c>
      <c r="J16" s="59"/>
      <c r="K16" s="59"/>
      <c r="L16" s="59"/>
      <c r="M16" s="59">
        <v>-4242</v>
      </c>
      <c r="N16" s="59">
        <v>-0.41</v>
      </c>
      <c r="O16" s="134">
        <v>-31250</v>
      </c>
      <c r="P16" s="134"/>
      <c r="Q16" s="134"/>
      <c r="R16" s="134">
        <v>-120970</v>
      </c>
      <c r="S16" s="134"/>
      <c r="T16" s="134"/>
      <c r="U16" s="134"/>
      <c r="V16" s="134"/>
      <c r="W16" s="31"/>
      <c r="X16" s="69"/>
      <c r="Y16" s="69"/>
      <c r="Z16" s="69"/>
      <c r="AA16" s="69"/>
      <c r="AB16" s="9"/>
      <c r="AC16" s="9"/>
      <c r="AD16" s="9"/>
      <c r="AE16" s="9"/>
      <c r="AF16" s="9"/>
      <c r="AG16" s="9"/>
      <c r="AH16" s="9"/>
      <c r="AI16" s="9"/>
      <c r="AJ16" s="9"/>
      <c r="AK16" s="9"/>
      <c r="AL16" s="9"/>
      <c r="AM16" s="9"/>
    </row>
    <row r="17" spans="1:39" x14ac:dyDescent="0.25">
      <c r="A17" s="62" t="s">
        <v>98</v>
      </c>
      <c r="B17" s="63" t="s">
        <v>132</v>
      </c>
      <c r="C17" s="63" t="s">
        <v>133</v>
      </c>
      <c r="D17" s="63" t="s">
        <v>134</v>
      </c>
      <c r="E17" s="63" t="s">
        <v>121</v>
      </c>
      <c r="F17" s="63" t="s">
        <v>101</v>
      </c>
      <c r="G17" s="63"/>
      <c r="H17" s="63" t="s">
        <v>135</v>
      </c>
      <c r="I17" s="63">
        <v>350000</v>
      </c>
      <c r="J17" s="63"/>
      <c r="K17" s="63"/>
      <c r="L17" s="63"/>
      <c r="M17" s="63">
        <v>350000</v>
      </c>
      <c r="N17" s="63"/>
      <c r="O17" s="134"/>
      <c r="P17" s="134"/>
      <c r="Q17" s="134"/>
      <c r="R17" s="134"/>
      <c r="S17" s="134"/>
      <c r="T17" s="134"/>
      <c r="U17" s="134"/>
      <c r="V17" s="134"/>
      <c r="W17" s="31"/>
      <c r="X17" s="69"/>
      <c r="Y17" s="69"/>
      <c r="Z17" s="69"/>
      <c r="AA17" s="69"/>
      <c r="AB17" s="9"/>
      <c r="AC17" s="9"/>
      <c r="AD17" s="9"/>
      <c r="AE17" s="9"/>
      <c r="AF17" s="9"/>
      <c r="AG17" s="9"/>
      <c r="AH17" s="9"/>
      <c r="AI17" s="9"/>
      <c r="AJ17" s="9"/>
      <c r="AK17" s="9"/>
      <c r="AL17" s="9"/>
      <c r="AM17" s="9"/>
    </row>
    <row r="18" spans="1:39" x14ac:dyDescent="0.25">
      <c r="A18" s="87" t="s">
        <v>98</v>
      </c>
      <c r="B18" s="88" t="s">
        <v>112</v>
      </c>
      <c r="C18" s="88" t="s">
        <v>136</v>
      </c>
      <c r="D18" s="88" t="s">
        <v>121</v>
      </c>
      <c r="E18" s="88" t="s">
        <v>97</v>
      </c>
      <c r="F18" s="88" t="s">
        <v>104</v>
      </c>
      <c r="G18" s="88" t="s">
        <v>126</v>
      </c>
      <c r="H18" s="88" t="s">
        <v>127</v>
      </c>
      <c r="I18" s="88">
        <v>-633000</v>
      </c>
      <c r="J18" s="88"/>
      <c r="K18" s="88"/>
      <c r="L18" s="88"/>
      <c r="M18" s="88"/>
      <c r="N18" s="88"/>
      <c r="O18" s="134"/>
      <c r="P18" s="134"/>
      <c r="Q18" s="134"/>
      <c r="R18" s="134">
        <v>-633000</v>
      </c>
      <c r="S18" s="134"/>
      <c r="T18" s="134"/>
      <c r="U18" s="134"/>
      <c r="V18" s="134"/>
      <c r="W18" s="31"/>
      <c r="X18" s="69"/>
      <c r="Y18" s="69"/>
      <c r="Z18" s="69"/>
      <c r="AA18" s="69"/>
      <c r="AB18" s="9"/>
      <c r="AC18" s="9"/>
      <c r="AD18" s="9"/>
      <c r="AE18" s="9"/>
      <c r="AF18" s="9"/>
      <c r="AG18" s="9"/>
      <c r="AH18" s="9"/>
      <c r="AI18" s="9"/>
      <c r="AJ18" s="9"/>
      <c r="AK18" s="9"/>
      <c r="AL18" s="9"/>
      <c r="AM18" s="9"/>
    </row>
    <row r="19" spans="1:39" x14ac:dyDescent="0.25">
      <c r="A19" s="100" t="s">
        <v>101</v>
      </c>
      <c r="B19" s="102" t="s">
        <v>137</v>
      </c>
      <c r="C19" s="102" t="s">
        <v>133</v>
      </c>
      <c r="D19" s="102" t="s">
        <v>121</v>
      </c>
      <c r="E19" s="102" t="s">
        <v>134</v>
      </c>
      <c r="F19" s="102" t="s">
        <v>101</v>
      </c>
      <c r="G19" s="102"/>
      <c r="H19" s="102" t="s">
        <v>138</v>
      </c>
      <c r="I19" s="102">
        <v>-350000</v>
      </c>
      <c r="J19" s="102"/>
      <c r="K19" s="102"/>
      <c r="L19" s="102"/>
      <c r="M19" s="102">
        <v>-350000</v>
      </c>
      <c r="N19" s="102"/>
      <c r="O19" s="134"/>
      <c r="P19" s="134"/>
      <c r="Q19" s="134"/>
      <c r="R19" s="134"/>
      <c r="S19" s="134"/>
      <c r="T19" s="134"/>
      <c r="U19" s="134"/>
      <c r="V19" s="134"/>
      <c r="W19" s="31"/>
      <c r="X19" s="69"/>
      <c r="Y19" s="69"/>
      <c r="Z19" s="69"/>
      <c r="AA19" s="69"/>
      <c r="AF19" s="9"/>
      <c r="AG19" s="9"/>
      <c r="AH19" s="9"/>
      <c r="AI19" s="9"/>
      <c r="AJ19" s="9"/>
      <c r="AK19" s="9"/>
      <c r="AL19" s="9"/>
      <c r="AM19" s="9"/>
    </row>
    <row r="20" spans="1:39" x14ac:dyDescent="0.25">
      <c r="A20" s="101" t="s">
        <v>101</v>
      </c>
      <c r="B20" s="103" t="s">
        <v>112</v>
      </c>
      <c r="C20" s="103" t="s">
        <v>139</v>
      </c>
      <c r="D20" s="103" t="s">
        <v>121</v>
      </c>
      <c r="E20" s="103" t="s">
        <v>97</v>
      </c>
      <c r="F20" s="103" t="s">
        <v>104</v>
      </c>
      <c r="G20" s="103" t="s">
        <v>126</v>
      </c>
      <c r="H20" s="103" t="s">
        <v>140</v>
      </c>
      <c r="I20" s="103">
        <v>-633000</v>
      </c>
      <c r="J20" s="103"/>
      <c r="K20" s="103"/>
      <c r="L20" s="103"/>
      <c r="M20" s="103"/>
      <c r="N20" s="103"/>
      <c r="O20" s="134"/>
      <c r="P20" s="134"/>
      <c r="Q20" s="134"/>
      <c r="R20" s="134">
        <v>-633000</v>
      </c>
      <c r="S20" s="134"/>
      <c r="T20" s="134"/>
      <c r="U20" s="134"/>
      <c r="V20" s="134"/>
      <c r="W20" s="31"/>
      <c r="X20" s="69"/>
      <c r="Y20" s="69"/>
      <c r="Z20" s="69"/>
      <c r="AA20" s="69"/>
      <c r="AB20" s="70"/>
      <c r="AC20" s="70"/>
      <c r="AD20" s="70"/>
      <c r="AE20" s="70"/>
      <c r="AF20" s="9"/>
      <c r="AG20" s="9"/>
      <c r="AH20" s="9"/>
      <c r="AI20" s="9"/>
      <c r="AJ20" s="9"/>
      <c r="AK20" s="9"/>
      <c r="AL20" s="9"/>
      <c r="AM20" s="9"/>
    </row>
    <row r="21" spans="1:39" x14ac:dyDescent="0.25">
      <c r="A21" s="105" t="s">
        <v>100</v>
      </c>
      <c r="B21" s="106" t="s">
        <v>132</v>
      </c>
      <c r="C21" s="106" t="s">
        <v>141</v>
      </c>
      <c r="D21" s="106" t="s">
        <v>116</v>
      </c>
      <c r="E21" s="106" t="s">
        <v>121</v>
      </c>
      <c r="F21" s="106" t="s">
        <v>105</v>
      </c>
      <c r="G21" s="106"/>
      <c r="H21" s="106" t="s">
        <v>142</v>
      </c>
      <c r="I21" s="106">
        <v>137000</v>
      </c>
      <c r="J21" s="106"/>
      <c r="K21" s="106"/>
      <c r="L21" s="106"/>
      <c r="M21" s="106">
        <v>137000</v>
      </c>
      <c r="N21" s="106"/>
      <c r="O21" s="134"/>
      <c r="P21" s="134"/>
      <c r="Q21" s="134"/>
      <c r="R21" s="134"/>
      <c r="S21" s="134"/>
      <c r="T21" s="134"/>
      <c r="U21" s="134"/>
      <c r="V21" s="134"/>
      <c r="W21" s="31"/>
      <c r="X21" s="69"/>
      <c r="Y21" s="69"/>
      <c r="Z21" s="69"/>
      <c r="AA21" s="69"/>
      <c r="AF21" s="9"/>
      <c r="AG21" s="9"/>
      <c r="AH21" s="9"/>
      <c r="AI21" s="9"/>
      <c r="AJ21" s="9"/>
      <c r="AK21" s="9"/>
      <c r="AL21" s="9"/>
      <c r="AM21" s="9"/>
    </row>
    <row r="22" spans="1:39" x14ac:dyDescent="0.25">
      <c r="A22" s="107" t="s">
        <v>100</v>
      </c>
      <c r="B22" s="108" t="s">
        <v>95</v>
      </c>
      <c r="C22" s="108" t="s">
        <v>143</v>
      </c>
      <c r="D22" s="108" t="s">
        <v>121</v>
      </c>
      <c r="E22" s="108" t="s">
        <v>97</v>
      </c>
      <c r="F22" s="108" t="s">
        <v>105</v>
      </c>
      <c r="G22" s="108" t="s">
        <v>144</v>
      </c>
      <c r="H22" s="108" t="s">
        <v>145</v>
      </c>
      <c r="I22" s="108">
        <v>-70000</v>
      </c>
      <c r="J22" s="108"/>
      <c r="K22" s="108"/>
      <c r="L22" s="108"/>
      <c r="M22" s="108"/>
      <c r="N22" s="108"/>
      <c r="O22" s="134"/>
      <c r="P22" s="134"/>
      <c r="Q22" s="134"/>
      <c r="R22" s="134">
        <v>-70000</v>
      </c>
      <c r="S22" s="134"/>
      <c r="T22" s="134"/>
      <c r="U22" s="134"/>
      <c r="V22" s="134"/>
      <c r="W22" s="31"/>
      <c r="X22" s="69"/>
      <c r="Y22" s="69"/>
      <c r="Z22" s="69"/>
      <c r="AA22" s="69"/>
      <c r="AF22" s="9"/>
      <c r="AG22" s="9"/>
      <c r="AH22" s="9"/>
      <c r="AI22" s="9"/>
      <c r="AJ22" s="9"/>
      <c r="AK22" s="9"/>
      <c r="AL22" s="9"/>
      <c r="AM22" s="9"/>
    </row>
    <row r="23" spans="1:39" x14ac:dyDescent="0.25">
      <c r="A23" s="109" t="s">
        <v>100</v>
      </c>
      <c r="B23" s="111" t="s">
        <v>95</v>
      </c>
      <c r="C23" s="111" t="s">
        <v>146</v>
      </c>
      <c r="D23" s="111" t="s">
        <v>121</v>
      </c>
      <c r="E23" s="111" t="s">
        <v>97</v>
      </c>
      <c r="F23" s="111" t="s">
        <v>105</v>
      </c>
      <c r="G23" s="111"/>
      <c r="H23" s="111" t="s">
        <v>147</v>
      </c>
      <c r="I23" s="111">
        <v>-25090.12</v>
      </c>
      <c r="J23" s="111"/>
      <c r="K23" s="111"/>
      <c r="L23" s="111"/>
      <c r="M23" s="111"/>
      <c r="N23" s="111">
        <v>-25090.12</v>
      </c>
      <c r="O23" s="134"/>
      <c r="P23" s="134"/>
      <c r="Q23" s="134"/>
      <c r="R23" s="134"/>
      <c r="S23" s="134"/>
      <c r="T23" s="134"/>
      <c r="U23" s="134"/>
      <c r="V23" s="134"/>
      <c r="W23" s="31"/>
      <c r="X23" s="69"/>
      <c r="Y23" s="69"/>
      <c r="Z23" s="69"/>
      <c r="AA23" s="69"/>
      <c r="AF23" s="9"/>
      <c r="AG23" s="9"/>
      <c r="AH23" s="9"/>
      <c r="AI23" s="9"/>
      <c r="AJ23" s="9"/>
      <c r="AK23" s="9"/>
      <c r="AL23" s="9"/>
      <c r="AM23" s="9"/>
    </row>
    <row r="24" spans="1:39" x14ac:dyDescent="0.25">
      <c r="A24" s="110" t="s">
        <v>100</v>
      </c>
      <c r="B24" s="112" t="s">
        <v>95</v>
      </c>
      <c r="C24" s="112" t="s">
        <v>146</v>
      </c>
      <c r="D24" s="112" t="s">
        <v>121</v>
      </c>
      <c r="E24" s="112" t="s">
        <v>97</v>
      </c>
      <c r="F24" s="112" t="s">
        <v>105</v>
      </c>
      <c r="G24" s="112"/>
      <c r="H24" s="112" t="s">
        <v>145</v>
      </c>
      <c r="I24" s="112">
        <v>-31935.71</v>
      </c>
      <c r="J24" s="112"/>
      <c r="K24" s="112"/>
      <c r="L24" s="112"/>
      <c r="M24" s="112"/>
      <c r="N24" s="112"/>
      <c r="O24" s="134"/>
      <c r="P24" s="134"/>
      <c r="Q24" s="134"/>
      <c r="R24" s="134">
        <v>-31935.71</v>
      </c>
      <c r="S24" s="134"/>
      <c r="T24" s="134"/>
      <c r="U24" s="134"/>
      <c r="V24" s="134"/>
      <c r="W24" s="31"/>
      <c r="X24" s="69"/>
      <c r="Y24" s="69"/>
      <c r="Z24" s="69"/>
      <c r="AA24" s="69"/>
      <c r="AF24" s="9"/>
      <c r="AG24" s="9"/>
      <c r="AH24" s="9"/>
      <c r="AI24" s="9"/>
      <c r="AJ24" s="9"/>
      <c r="AK24" s="9"/>
      <c r="AL24" s="9"/>
      <c r="AM24" s="9"/>
    </row>
    <row r="25" spans="1:39" x14ac:dyDescent="0.25">
      <c r="A25" s="25" t="s">
        <v>100</v>
      </c>
      <c r="B25" s="25" t="s">
        <v>95</v>
      </c>
      <c r="C25" s="25" t="s">
        <v>148</v>
      </c>
      <c r="D25" s="25" t="s">
        <v>121</v>
      </c>
      <c r="E25" s="25" t="s">
        <v>97</v>
      </c>
      <c r="F25" s="25" t="s">
        <v>105</v>
      </c>
      <c r="H25" s="25" t="s">
        <v>149</v>
      </c>
      <c r="I25" s="25">
        <v>-593000</v>
      </c>
      <c r="M25" s="25">
        <v>-593000</v>
      </c>
      <c r="O25" s="135"/>
      <c r="P25" s="135"/>
      <c r="Q25" s="135"/>
      <c r="R25" s="135"/>
      <c r="S25" s="135"/>
      <c r="T25" s="135"/>
      <c r="U25" s="135"/>
      <c r="V25" s="135"/>
      <c r="X25" s="69"/>
      <c r="Y25" s="69"/>
      <c r="Z25" s="69"/>
      <c r="AA25" s="69"/>
      <c r="AF25" s="9"/>
      <c r="AG25" s="9"/>
      <c r="AH25" s="9"/>
      <c r="AI25" s="9"/>
      <c r="AJ25" s="9"/>
      <c r="AK25" s="9"/>
      <c r="AL25" s="9"/>
      <c r="AM25" s="9"/>
    </row>
    <row r="26" spans="1:39" x14ac:dyDescent="0.25">
      <c r="A26" s="25" t="s">
        <v>100</v>
      </c>
      <c r="B26" s="25" t="s">
        <v>112</v>
      </c>
      <c r="C26" s="25" t="s">
        <v>150</v>
      </c>
      <c r="D26" s="25" t="s">
        <v>121</v>
      </c>
      <c r="E26" s="25" t="s">
        <v>97</v>
      </c>
      <c r="F26" s="25" t="s">
        <v>104</v>
      </c>
      <c r="G26" s="25" t="s">
        <v>151</v>
      </c>
      <c r="H26" s="25" t="s">
        <v>152</v>
      </c>
      <c r="I26" s="25">
        <v>-150000</v>
      </c>
      <c r="O26" s="135"/>
      <c r="P26" s="135"/>
      <c r="Q26" s="135"/>
      <c r="R26" s="135">
        <v>-150000</v>
      </c>
      <c r="S26" s="135"/>
      <c r="T26" s="135"/>
      <c r="U26" s="135"/>
      <c r="V26" s="135"/>
      <c r="X26" s="69"/>
      <c r="Y26" s="69"/>
      <c r="Z26" s="69"/>
      <c r="AA26" s="69"/>
      <c r="AF26" s="9"/>
      <c r="AG26" s="9"/>
      <c r="AH26" s="9"/>
      <c r="AI26" s="9"/>
      <c r="AJ26" s="9"/>
      <c r="AK26" s="9"/>
      <c r="AL26" s="9"/>
      <c r="AM26" s="9"/>
    </row>
    <row r="27" spans="1:39" x14ac:dyDescent="0.25">
      <c r="A27" s="25" t="s">
        <v>105</v>
      </c>
      <c r="B27" s="25" t="s">
        <v>132</v>
      </c>
      <c r="C27" s="25" t="s">
        <v>153</v>
      </c>
      <c r="D27" s="25" t="s">
        <v>134</v>
      </c>
      <c r="E27" s="25" t="s">
        <v>121</v>
      </c>
      <c r="F27" s="25" t="s">
        <v>99</v>
      </c>
      <c r="G27" s="25" t="s">
        <v>154</v>
      </c>
      <c r="H27" s="25" t="s">
        <v>155</v>
      </c>
      <c r="I27" s="25">
        <v>650000</v>
      </c>
      <c r="O27" s="135"/>
      <c r="P27" s="135"/>
      <c r="Q27" s="135"/>
      <c r="R27" s="135">
        <v>650000</v>
      </c>
      <c r="S27" s="135"/>
      <c r="T27" s="135"/>
      <c r="U27" s="135"/>
      <c r="V27" s="135"/>
      <c r="X27" s="69"/>
      <c r="Y27" s="69"/>
      <c r="Z27" s="69"/>
      <c r="AA27" s="69"/>
      <c r="AF27" s="9"/>
      <c r="AG27" s="9"/>
      <c r="AH27" s="9"/>
      <c r="AI27" s="9"/>
      <c r="AJ27" s="9"/>
      <c r="AK27" s="9"/>
      <c r="AL27" s="9"/>
      <c r="AM27" s="9"/>
    </row>
    <row r="28" spans="1:39" x14ac:dyDescent="0.25">
      <c r="A28" s="25" t="s">
        <v>105</v>
      </c>
      <c r="B28" s="25" t="s">
        <v>95</v>
      </c>
      <c r="C28" s="25" t="s">
        <v>156</v>
      </c>
      <c r="D28" s="25" t="s">
        <v>121</v>
      </c>
      <c r="E28" s="25" t="s">
        <v>97</v>
      </c>
      <c r="F28" s="25" t="s">
        <v>106</v>
      </c>
      <c r="G28" s="25" t="s">
        <v>157</v>
      </c>
      <c r="H28" s="25" t="s">
        <v>147</v>
      </c>
      <c r="I28" s="25">
        <v>-25000</v>
      </c>
      <c r="N28" s="25">
        <v>-25000</v>
      </c>
      <c r="O28" s="135"/>
      <c r="P28" s="135"/>
      <c r="Q28" s="135"/>
      <c r="R28" s="135"/>
      <c r="S28" s="135"/>
      <c r="T28" s="135"/>
      <c r="U28" s="135"/>
      <c r="V28" s="135"/>
      <c r="X28" s="69"/>
      <c r="Y28" s="69"/>
      <c r="Z28" s="69"/>
      <c r="AA28" s="69"/>
      <c r="AF28" s="9"/>
      <c r="AG28" s="9"/>
      <c r="AH28" s="9"/>
      <c r="AI28" s="9"/>
      <c r="AJ28" s="9"/>
      <c r="AK28" s="9"/>
      <c r="AL28" s="9"/>
      <c r="AM28" s="9"/>
    </row>
    <row r="29" spans="1:39" x14ac:dyDescent="0.25">
      <c r="A29" s="25" t="s">
        <v>105</v>
      </c>
      <c r="B29" s="25" t="s">
        <v>95</v>
      </c>
      <c r="C29" s="25" t="s">
        <v>156</v>
      </c>
      <c r="D29" s="25" t="s">
        <v>121</v>
      </c>
      <c r="E29" s="25" t="s">
        <v>97</v>
      </c>
      <c r="F29" s="25" t="s">
        <v>106</v>
      </c>
      <c r="G29" s="25" t="s">
        <v>157</v>
      </c>
      <c r="H29" s="25" t="s">
        <v>158</v>
      </c>
      <c r="I29" s="25">
        <v>-25000</v>
      </c>
      <c r="O29" s="135">
        <v>-25000</v>
      </c>
      <c r="P29" s="135"/>
      <c r="Q29" s="135"/>
      <c r="R29" s="135"/>
      <c r="S29" s="135"/>
      <c r="T29" s="135"/>
      <c r="U29" s="135"/>
      <c r="V29" s="135"/>
      <c r="X29" s="69"/>
      <c r="Y29" s="69"/>
      <c r="Z29" s="69"/>
      <c r="AA29" s="69"/>
      <c r="AF29" s="9"/>
      <c r="AG29" s="9"/>
      <c r="AH29" s="9"/>
      <c r="AI29" s="9"/>
      <c r="AJ29" s="9"/>
      <c r="AK29" s="9"/>
      <c r="AL29" s="9"/>
      <c r="AM29" s="9"/>
    </row>
    <row r="30" spans="1:39" x14ac:dyDescent="0.25">
      <c r="A30" s="25" t="s">
        <v>105</v>
      </c>
      <c r="B30" s="25" t="s">
        <v>95</v>
      </c>
      <c r="C30" s="25" t="s">
        <v>159</v>
      </c>
      <c r="D30" s="25" t="s">
        <v>121</v>
      </c>
      <c r="E30" s="25" t="s">
        <v>97</v>
      </c>
      <c r="F30" s="25" t="s">
        <v>106</v>
      </c>
      <c r="G30" s="25" t="s">
        <v>160</v>
      </c>
      <c r="H30" s="25" t="s">
        <v>145</v>
      </c>
      <c r="I30" s="25">
        <v>-34000</v>
      </c>
      <c r="O30" s="135"/>
      <c r="P30" s="135"/>
      <c r="Q30" s="135"/>
      <c r="R30" s="135">
        <v>-34000</v>
      </c>
      <c r="S30" s="135"/>
      <c r="T30" s="135"/>
      <c r="U30" s="135"/>
      <c r="V30" s="135"/>
      <c r="X30" s="69"/>
      <c r="Y30" s="69"/>
      <c r="Z30" s="69"/>
      <c r="AA30" s="69"/>
      <c r="AF30" s="9"/>
      <c r="AG30" s="9"/>
      <c r="AH30" s="9"/>
      <c r="AI30" s="9"/>
      <c r="AJ30" s="9"/>
      <c r="AK30" s="9"/>
      <c r="AL30" s="9"/>
      <c r="AM30" s="9"/>
    </row>
    <row r="31" spans="1:39" x14ac:dyDescent="0.25">
      <c r="A31" s="25" t="s">
        <v>105</v>
      </c>
      <c r="B31" s="25" t="s">
        <v>95</v>
      </c>
      <c r="C31" s="25" t="s">
        <v>159</v>
      </c>
      <c r="D31" s="25" t="s">
        <v>121</v>
      </c>
      <c r="E31" s="25" t="s">
        <v>97</v>
      </c>
      <c r="F31" s="25" t="s">
        <v>106</v>
      </c>
      <c r="G31" s="25" t="s">
        <v>161</v>
      </c>
      <c r="H31" s="25" t="s">
        <v>145</v>
      </c>
      <c r="I31" s="25">
        <v>-274788.05</v>
      </c>
      <c r="M31" s="25">
        <v>-274788.05</v>
      </c>
      <c r="O31" s="135"/>
      <c r="P31" s="135"/>
      <c r="Q31" s="135"/>
      <c r="R31" s="135"/>
      <c r="S31" s="135"/>
      <c r="T31" s="135"/>
      <c r="U31" s="135"/>
      <c r="V31" s="135"/>
      <c r="X31" s="69"/>
      <c r="Y31" s="69"/>
      <c r="Z31" s="69"/>
      <c r="AA31" s="69"/>
      <c r="AF31" s="9"/>
      <c r="AG31" s="9"/>
      <c r="AH31" s="9"/>
      <c r="AI31" s="9"/>
      <c r="AJ31" s="9"/>
      <c r="AK31" s="9"/>
      <c r="AL31" s="9"/>
      <c r="AM31" s="9"/>
    </row>
    <row r="32" spans="1:39" x14ac:dyDescent="0.25">
      <c r="A32" s="25" t="s">
        <v>105</v>
      </c>
      <c r="B32" s="25" t="s">
        <v>95</v>
      </c>
      <c r="C32" s="25" t="s">
        <v>162</v>
      </c>
      <c r="D32" s="25" t="s">
        <v>121</v>
      </c>
      <c r="E32" s="25" t="s">
        <v>97</v>
      </c>
      <c r="F32" s="25" t="s">
        <v>106</v>
      </c>
      <c r="G32" s="25" t="s">
        <v>163</v>
      </c>
      <c r="H32" s="25" t="s">
        <v>145</v>
      </c>
      <c r="I32" s="25">
        <v>-570835.57999999996</v>
      </c>
      <c r="O32" s="135"/>
      <c r="P32" s="135"/>
      <c r="Q32" s="135"/>
      <c r="R32" s="135">
        <v>-570835.57999999996</v>
      </c>
      <c r="S32" s="135"/>
      <c r="T32" s="135"/>
      <c r="U32" s="135"/>
      <c r="V32" s="135"/>
      <c r="X32" s="69"/>
      <c r="Y32" s="69"/>
      <c r="Z32" s="69"/>
      <c r="AA32" s="69"/>
      <c r="AF32" s="9"/>
      <c r="AG32" s="9"/>
      <c r="AH32" s="9"/>
      <c r="AI32" s="9"/>
      <c r="AJ32" s="9"/>
      <c r="AK32" s="9"/>
      <c r="AL32" s="9"/>
      <c r="AM32" s="9"/>
    </row>
    <row r="33" spans="1:39" x14ac:dyDescent="0.25">
      <c r="A33" s="25" t="s">
        <v>105</v>
      </c>
      <c r="B33" s="25" t="s">
        <v>96</v>
      </c>
      <c r="C33" s="25" t="s">
        <v>143</v>
      </c>
      <c r="D33" s="25" t="s">
        <v>97</v>
      </c>
      <c r="E33" s="25" t="s">
        <v>121</v>
      </c>
      <c r="F33" s="25" t="s">
        <v>105</v>
      </c>
      <c r="G33" s="25" t="s">
        <v>144</v>
      </c>
      <c r="H33" s="25" t="s">
        <v>145</v>
      </c>
      <c r="I33" s="25">
        <v>70000</v>
      </c>
      <c r="O33" s="135"/>
      <c r="P33" s="135"/>
      <c r="Q33" s="135"/>
      <c r="R33" s="135">
        <v>70000</v>
      </c>
      <c r="S33" s="135"/>
      <c r="T33" s="135"/>
      <c r="U33" s="135"/>
      <c r="V33" s="135"/>
      <c r="X33" s="69"/>
      <c r="Y33" s="69"/>
      <c r="Z33" s="69"/>
      <c r="AA33" s="69"/>
      <c r="AF33" s="9"/>
      <c r="AG33" s="9"/>
      <c r="AH33" s="9"/>
      <c r="AI33" s="9"/>
      <c r="AJ33" s="9"/>
      <c r="AK33" s="9"/>
      <c r="AL33" s="9"/>
      <c r="AM33" s="9"/>
    </row>
    <row r="34" spans="1:39" x14ac:dyDescent="0.25">
      <c r="A34" s="25" t="s">
        <v>105</v>
      </c>
      <c r="B34" s="25" t="s">
        <v>96</v>
      </c>
      <c r="C34" s="25" t="s">
        <v>146</v>
      </c>
      <c r="D34" s="25" t="s">
        <v>97</v>
      </c>
      <c r="E34" s="25" t="s">
        <v>121</v>
      </c>
      <c r="F34" s="25" t="s">
        <v>105</v>
      </c>
      <c r="H34" s="25" t="s">
        <v>147</v>
      </c>
      <c r="I34" s="25">
        <v>25090.12</v>
      </c>
      <c r="N34" s="25">
        <v>25090.12</v>
      </c>
      <c r="O34" s="135"/>
      <c r="P34" s="135"/>
      <c r="Q34" s="135"/>
      <c r="R34" s="135"/>
      <c r="S34" s="135"/>
      <c r="T34" s="135"/>
      <c r="U34" s="135"/>
      <c r="V34" s="135"/>
      <c r="X34" s="69"/>
      <c r="Y34" s="69"/>
      <c r="Z34" s="69"/>
      <c r="AA34" s="69"/>
      <c r="AF34" s="9"/>
      <c r="AG34" s="9"/>
      <c r="AH34" s="9"/>
      <c r="AI34" s="9"/>
      <c r="AJ34" s="9"/>
      <c r="AK34" s="9"/>
      <c r="AL34" s="9"/>
      <c r="AM34" s="9"/>
    </row>
    <row r="35" spans="1:39" x14ac:dyDescent="0.25">
      <c r="A35" s="25" t="s">
        <v>105</v>
      </c>
      <c r="B35" s="25" t="s">
        <v>96</v>
      </c>
      <c r="C35" s="25" t="s">
        <v>146</v>
      </c>
      <c r="D35" s="25" t="s">
        <v>97</v>
      </c>
      <c r="E35" s="25" t="s">
        <v>121</v>
      </c>
      <c r="F35" s="25" t="s">
        <v>105</v>
      </c>
      <c r="H35" s="25" t="s">
        <v>145</v>
      </c>
      <c r="I35" s="25">
        <v>31935.71</v>
      </c>
      <c r="O35" s="135"/>
      <c r="P35" s="135"/>
      <c r="Q35" s="135"/>
      <c r="R35" s="135">
        <v>31935.71</v>
      </c>
      <c r="S35" s="135"/>
      <c r="T35" s="135"/>
      <c r="U35" s="135"/>
      <c r="V35" s="135"/>
      <c r="X35" s="69"/>
      <c r="Y35" s="69"/>
      <c r="Z35" s="69"/>
      <c r="AA35" s="69"/>
      <c r="AF35" s="9"/>
      <c r="AG35" s="9"/>
      <c r="AH35" s="9"/>
      <c r="AI35" s="9"/>
      <c r="AJ35" s="9"/>
      <c r="AK35" s="9"/>
      <c r="AL35" s="9"/>
      <c r="AM35" s="9"/>
    </row>
    <row r="36" spans="1:39" x14ac:dyDescent="0.25">
      <c r="A36" s="25" t="s">
        <v>105</v>
      </c>
      <c r="B36" s="25" t="s">
        <v>96</v>
      </c>
      <c r="C36" s="25" t="s">
        <v>148</v>
      </c>
      <c r="D36" s="25" t="s">
        <v>97</v>
      </c>
      <c r="E36" s="25" t="s">
        <v>121</v>
      </c>
      <c r="F36" s="25" t="s">
        <v>105</v>
      </c>
      <c r="H36" s="25" t="s">
        <v>149</v>
      </c>
      <c r="I36" s="25">
        <v>593000</v>
      </c>
      <c r="M36" s="25">
        <v>593000</v>
      </c>
      <c r="O36" s="135"/>
      <c r="P36" s="135"/>
      <c r="Q36" s="135"/>
      <c r="R36" s="135"/>
      <c r="S36" s="135"/>
      <c r="T36" s="135"/>
      <c r="U36" s="135"/>
      <c r="V36" s="135"/>
      <c r="X36" s="69"/>
      <c r="Y36" s="69"/>
      <c r="Z36" s="69"/>
      <c r="AA36" s="69"/>
      <c r="AF36" s="9"/>
      <c r="AG36" s="9"/>
      <c r="AH36" s="9"/>
      <c r="AI36" s="9"/>
      <c r="AJ36" s="9"/>
      <c r="AK36" s="9"/>
      <c r="AL36" s="9"/>
      <c r="AM36" s="9"/>
    </row>
    <row r="37" spans="1:39" x14ac:dyDescent="0.25">
      <c r="A37" s="25" t="s">
        <v>105</v>
      </c>
      <c r="B37" s="25" t="s">
        <v>137</v>
      </c>
      <c r="C37" s="25" t="s">
        <v>141</v>
      </c>
      <c r="D37" s="25" t="s">
        <v>121</v>
      </c>
      <c r="E37" s="25" t="s">
        <v>116</v>
      </c>
      <c r="F37" s="25" t="s">
        <v>105</v>
      </c>
      <c r="H37" s="25" t="s">
        <v>142</v>
      </c>
      <c r="I37" s="25">
        <v>-137000</v>
      </c>
      <c r="M37" s="25">
        <v>-137000</v>
      </c>
      <c r="O37" s="135"/>
      <c r="P37" s="135"/>
      <c r="Q37" s="135"/>
      <c r="R37" s="135"/>
      <c r="S37" s="135"/>
      <c r="T37" s="135"/>
      <c r="U37" s="135"/>
      <c r="V37" s="135"/>
      <c r="X37" s="69"/>
      <c r="Y37" s="69"/>
      <c r="Z37" s="69"/>
      <c r="AA37" s="69"/>
      <c r="AF37" s="9"/>
      <c r="AG37" s="9"/>
      <c r="AH37" s="9"/>
      <c r="AI37" s="9"/>
      <c r="AJ37" s="9"/>
      <c r="AK37" s="9"/>
      <c r="AL37" s="9"/>
      <c r="AM37" s="9"/>
    </row>
    <row r="38" spans="1:39" x14ac:dyDescent="0.25">
      <c r="A38" s="25" t="s">
        <v>105</v>
      </c>
      <c r="B38" s="25" t="s">
        <v>112</v>
      </c>
      <c r="C38" s="25" t="s">
        <v>164</v>
      </c>
      <c r="D38" s="25" t="s">
        <v>121</v>
      </c>
      <c r="E38" s="25" t="s">
        <v>97</v>
      </c>
      <c r="F38" s="25" t="s">
        <v>104</v>
      </c>
      <c r="G38" s="25" t="s">
        <v>165</v>
      </c>
      <c r="H38" s="25" t="s">
        <v>166</v>
      </c>
      <c r="I38" s="25">
        <v>-230000</v>
      </c>
      <c r="M38" s="25">
        <v>-230000</v>
      </c>
      <c r="O38" s="135"/>
      <c r="P38" s="135"/>
      <c r="Q38" s="135"/>
      <c r="R38" s="135"/>
      <c r="S38" s="135"/>
      <c r="T38" s="135"/>
      <c r="U38" s="135"/>
      <c r="V38" s="135"/>
      <c r="X38" s="69"/>
      <c r="Y38" s="69"/>
      <c r="Z38" s="69"/>
      <c r="AA38" s="69"/>
      <c r="AF38" s="9"/>
      <c r="AG38" s="9"/>
      <c r="AH38" s="9"/>
      <c r="AI38" s="9"/>
      <c r="AJ38" s="9"/>
      <c r="AK38" s="9"/>
      <c r="AL38" s="9"/>
      <c r="AM38" s="9"/>
    </row>
    <row r="39" spans="1:39" x14ac:dyDescent="0.25">
      <c r="A39" s="25" t="s">
        <v>105</v>
      </c>
      <c r="B39" s="25" t="s">
        <v>112</v>
      </c>
      <c r="C39" s="25" t="s">
        <v>167</v>
      </c>
      <c r="D39" s="25" t="s">
        <v>121</v>
      </c>
      <c r="E39" s="25" t="s">
        <v>97</v>
      </c>
      <c r="F39" s="25" t="s">
        <v>104</v>
      </c>
      <c r="G39" s="25" t="s">
        <v>163</v>
      </c>
      <c r="H39" s="25" t="s">
        <v>152</v>
      </c>
      <c r="I39" s="25">
        <v>-50000</v>
      </c>
      <c r="O39" s="135"/>
      <c r="P39" s="135"/>
      <c r="Q39" s="135"/>
      <c r="R39" s="135">
        <v>-50000</v>
      </c>
      <c r="S39" s="135"/>
      <c r="T39" s="135"/>
      <c r="U39" s="135"/>
      <c r="V39" s="135"/>
      <c r="X39" s="69"/>
      <c r="Y39" s="69"/>
      <c r="Z39" s="69"/>
      <c r="AA39" s="69"/>
      <c r="AF39" s="9"/>
      <c r="AG39" s="9"/>
      <c r="AH39" s="9"/>
      <c r="AI39" s="9"/>
      <c r="AJ39" s="9"/>
      <c r="AK39" s="9"/>
      <c r="AL39" s="9"/>
      <c r="AM39" s="9"/>
    </row>
    <row r="40" spans="1:39" x14ac:dyDescent="0.25">
      <c r="A40" s="25" t="s">
        <v>105</v>
      </c>
      <c r="B40" s="25" t="s">
        <v>112</v>
      </c>
      <c r="C40" s="25" t="s">
        <v>168</v>
      </c>
      <c r="D40" s="25" t="s">
        <v>121</v>
      </c>
      <c r="E40" s="25" t="s">
        <v>134</v>
      </c>
      <c r="F40" s="25" t="s">
        <v>104</v>
      </c>
      <c r="G40" s="25" t="s">
        <v>117</v>
      </c>
      <c r="H40" s="25" t="s">
        <v>169</v>
      </c>
      <c r="I40" s="25">
        <v>-45000</v>
      </c>
      <c r="M40" s="25">
        <v>-45000</v>
      </c>
      <c r="O40" s="135"/>
      <c r="P40" s="135"/>
      <c r="Q40" s="135"/>
      <c r="R40" s="135"/>
      <c r="S40" s="135"/>
      <c r="T40" s="135"/>
      <c r="U40" s="135"/>
      <c r="V40" s="135"/>
      <c r="X40" s="69"/>
      <c r="Y40" s="69"/>
      <c r="Z40" s="69"/>
      <c r="AA40" s="69"/>
      <c r="AF40" s="9"/>
      <c r="AG40" s="9"/>
      <c r="AH40" s="9"/>
      <c r="AI40" s="9"/>
      <c r="AJ40" s="9"/>
      <c r="AK40" s="9"/>
      <c r="AL40" s="9"/>
      <c r="AM40" s="9"/>
    </row>
    <row r="41" spans="1:39" x14ac:dyDescent="0.25">
      <c r="A41" s="25" t="s">
        <v>106</v>
      </c>
      <c r="B41" s="25" t="s">
        <v>96</v>
      </c>
      <c r="C41" s="25" t="s">
        <v>156</v>
      </c>
      <c r="D41" s="25" t="s">
        <v>97</v>
      </c>
      <c r="E41" s="25" t="s">
        <v>121</v>
      </c>
      <c r="F41" s="25" t="s">
        <v>106</v>
      </c>
      <c r="G41" s="25" t="s">
        <v>157</v>
      </c>
      <c r="H41" s="25" t="s">
        <v>147</v>
      </c>
      <c r="I41" s="25">
        <v>25000</v>
      </c>
      <c r="N41" s="25">
        <v>25000</v>
      </c>
      <c r="O41" s="135"/>
      <c r="P41" s="135"/>
      <c r="Q41" s="135"/>
      <c r="R41" s="135"/>
      <c r="S41" s="135"/>
      <c r="T41" s="135"/>
      <c r="U41" s="135"/>
      <c r="V41" s="135"/>
      <c r="X41" s="69"/>
      <c r="Y41" s="69"/>
      <c r="Z41" s="69"/>
      <c r="AA41" s="69"/>
      <c r="AF41" s="9"/>
      <c r="AG41" s="9"/>
      <c r="AH41" s="9"/>
      <c r="AI41" s="9"/>
      <c r="AJ41" s="9"/>
      <c r="AK41" s="9"/>
      <c r="AL41" s="9"/>
      <c r="AM41" s="9"/>
    </row>
    <row r="42" spans="1:39" x14ac:dyDescent="0.25">
      <c r="A42" s="25" t="s">
        <v>106</v>
      </c>
      <c r="B42" s="25" t="s">
        <v>96</v>
      </c>
      <c r="C42" s="25" t="s">
        <v>156</v>
      </c>
      <c r="D42" s="25" t="s">
        <v>97</v>
      </c>
      <c r="E42" s="25" t="s">
        <v>121</v>
      </c>
      <c r="F42" s="25" t="s">
        <v>106</v>
      </c>
      <c r="G42" s="25" t="s">
        <v>157</v>
      </c>
      <c r="H42" s="25" t="s">
        <v>158</v>
      </c>
      <c r="I42" s="25">
        <v>25000</v>
      </c>
      <c r="O42" s="135">
        <v>25000</v>
      </c>
      <c r="P42" s="135"/>
      <c r="Q42" s="135"/>
      <c r="R42" s="135"/>
      <c r="S42" s="135"/>
      <c r="T42" s="135"/>
      <c r="U42" s="135"/>
      <c r="V42" s="135"/>
      <c r="X42" s="69"/>
      <c r="Y42" s="69"/>
      <c r="Z42" s="69"/>
      <c r="AA42" s="69"/>
      <c r="AF42" s="9"/>
      <c r="AG42" s="9"/>
      <c r="AH42" s="9"/>
      <c r="AI42" s="9"/>
      <c r="AJ42" s="9"/>
      <c r="AK42" s="9"/>
      <c r="AL42" s="9"/>
      <c r="AM42" s="9"/>
    </row>
    <row r="43" spans="1:39" x14ac:dyDescent="0.25">
      <c r="A43" s="25" t="s">
        <v>106</v>
      </c>
      <c r="B43" s="25" t="s">
        <v>96</v>
      </c>
      <c r="C43" s="25" t="s">
        <v>159</v>
      </c>
      <c r="D43" s="25" t="s">
        <v>97</v>
      </c>
      <c r="E43" s="25" t="s">
        <v>121</v>
      </c>
      <c r="F43" s="25" t="s">
        <v>106</v>
      </c>
      <c r="G43" s="25" t="s">
        <v>160</v>
      </c>
      <c r="H43" s="25" t="s">
        <v>145</v>
      </c>
      <c r="I43" s="25">
        <v>34000</v>
      </c>
      <c r="O43" s="135"/>
      <c r="P43" s="135"/>
      <c r="Q43" s="135"/>
      <c r="R43" s="135">
        <v>34000</v>
      </c>
      <c r="S43" s="135"/>
      <c r="T43" s="135"/>
      <c r="U43" s="135"/>
      <c r="V43" s="135"/>
      <c r="X43" s="69"/>
      <c r="Y43" s="69"/>
      <c r="Z43" s="69"/>
      <c r="AA43" s="69"/>
      <c r="AF43" s="9"/>
      <c r="AG43" s="9"/>
      <c r="AH43" s="9"/>
      <c r="AI43" s="9"/>
      <c r="AJ43" s="9"/>
      <c r="AK43" s="9"/>
      <c r="AL43" s="9"/>
      <c r="AM43" s="9"/>
    </row>
    <row r="44" spans="1:39" x14ac:dyDescent="0.25">
      <c r="A44" s="25" t="s">
        <v>106</v>
      </c>
      <c r="B44" s="25" t="s">
        <v>96</v>
      </c>
      <c r="C44" s="25" t="s">
        <v>159</v>
      </c>
      <c r="D44" s="25" t="s">
        <v>97</v>
      </c>
      <c r="E44" s="25" t="s">
        <v>121</v>
      </c>
      <c r="F44" s="25" t="s">
        <v>106</v>
      </c>
      <c r="G44" s="25" t="s">
        <v>161</v>
      </c>
      <c r="H44" s="25" t="s">
        <v>145</v>
      </c>
      <c r="I44" s="25">
        <v>274788.05</v>
      </c>
      <c r="M44" s="25">
        <v>274788.05</v>
      </c>
      <c r="O44" s="135"/>
      <c r="P44" s="135"/>
      <c r="Q44" s="135"/>
      <c r="R44" s="135"/>
      <c r="S44" s="135"/>
      <c r="T44" s="135"/>
      <c r="U44" s="135"/>
      <c r="V44" s="135"/>
      <c r="X44" s="69"/>
      <c r="Y44" s="69"/>
      <c r="Z44" s="69"/>
      <c r="AA44" s="69"/>
      <c r="AF44" s="9"/>
      <c r="AG44" s="9"/>
      <c r="AH44" s="9"/>
      <c r="AI44" s="9"/>
      <c r="AJ44" s="9"/>
      <c r="AK44" s="9"/>
      <c r="AL44" s="9"/>
      <c r="AM44" s="9"/>
    </row>
    <row r="45" spans="1:39" x14ac:dyDescent="0.25">
      <c r="A45" s="25" t="s">
        <v>106</v>
      </c>
      <c r="B45" s="25" t="s">
        <v>96</v>
      </c>
      <c r="C45" s="25" t="s">
        <v>162</v>
      </c>
      <c r="D45" s="25" t="s">
        <v>97</v>
      </c>
      <c r="E45" s="25" t="s">
        <v>121</v>
      </c>
      <c r="F45" s="25" t="s">
        <v>106</v>
      </c>
      <c r="G45" s="25" t="s">
        <v>163</v>
      </c>
      <c r="H45" s="25" t="s">
        <v>145</v>
      </c>
      <c r="I45" s="25">
        <v>570835.57999999996</v>
      </c>
      <c r="O45" s="135"/>
      <c r="P45" s="135"/>
      <c r="Q45" s="135"/>
      <c r="R45" s="135">
        <v>570835.57999999996</v>
      </c>
      <c r="S45" s="135"/>
      <c r="T45" s="135"/>
      <c r="U45" s="135"/>
      <c r="V45" s="135"/>
      <c r="X45" s="69"/>
      <c r="Y45" s="69"/>
      <c r="Z45" s="69"/>
      <c r="AA45" s="69"/>
      <c r="AF45" s="9"/>
      <c r="AG45" s="9"/>
      <c r="AH45" s="9"/>
      <c r="AI45" s="9"/>
      <c r="AJ45" s="9"/>
      <c r="AK45" s="9"/>
      <c r="AL45" s="9"/>
      <c r="AM45" s="9"/>
    </row>
    <row r="46" spans="1:39" x14ac:dyDescent="0.25">
      <c r="A46" s="25" t="s">
        <v>106</v>
      </c>
      <c r="B46" s="25" t="s">
        <v>112</v>
      </c>
      <c r="C46" s="25" t="s">
        <v>170</v>
      </c>
      <c r="D46" s="25" t="s">
        <v>121</v>
      </c>
      <c r="E46" s="25" t="s">
        <v>97</v>
      </c>
      <c r="F46" s="25" t="s">
        <v>104</v>
      </c>
      <c r="G46" s="25" t="s">
        <v>171</v>
      </c>
      <c r="H46" s="25" t="s">
        <v>152</v>
      </c>
      <c r="I46" s="25">
        <v>-633000</v>
      </c>
      <c r="O46" s="135"/>
      <c r="P46" s="135"/>
      <c r="Q46" s="135"/>
      <c r="R46" s="135">
        <v>-633000</v>
      </c>
      <c r="S46" s="135"/>
      <c r="T46" s="135"/>
      <c r="U46" s="135"/>
      <c r="V46" s="135"/>
      <c r="X46" s="69"/>
      <c r="Y46" s="69"/>
      <c r="Z46" s="69"/>
      <c r="AA46" s="69"/>
      <c r="AF46" s="9"/>
      <c r="AG46" s="9"/>
      <c r="AH46" s="9"/>
      <c r="AI46" s="9"/>
      <c r="AJ46" s="9"/>
      <c r="AK46" s="9"/>
      <c r="AL46" s="9"/>
      <c r="AM46" s="9"/>
    </row>
    <row r="47" spans="1:39" x14ac:dyDescent="0.25">
      <c r="A47" s="25" t="s">
        <v>99</v>
      </c>
      <c r="B47" s="25" t="s">
        <v>132</v>
      </c>
      <c r="C47" s="25" t="s">
        <v>230</v>
      </c>
      <c r="D47" s="25" t="s">
        <v>231</v>
      </c>
      <c r="E47" s="25" t="s">
        <v>121</v>
      </c>
      <c r="F47" s="25" t="s">
        <v>232</v>
      </c>
      <c r="G47" s="25" t="s">
        <v>233</v>
      </c>
      <c r="H47" s="25" t="s">
        <v>234</v>
      </c>
      <c r="I47" s="25">
        <v>10000</v>
      </c>
      <c r="O47" s="135"/>
      <c r="P47" s="135"/>
      <c r="Q47" s="135">
        <v>10000</v>
      </c>
      <c r="R47" s="135"/>
      <c r="S47" s="135"/>
      <c r="T47" s="135"/>
      <c r="U47" s="135"/>
      <c r="V47" s="135"/>
      <c r="X47" s="69"/>
      <c r="Y47" s="69"/>
      <c r="Z47" s="69"/>
      <c r="AA47" s="69"/>
      <c r="AF47" s="9"/>
      <c r="AG47" s="9"/>
      <c r="AH47" s="9"/>
      <c r="AI47" s="9"/>
      <c r="AJ47" s="9"/>
      <c r="AK47" s="9"/>
      <c r="AL47" s="9"/>
      <c r="AM47" s="9"/>
    </row>
    <row r="48" spans="1:39" x14ac:dyDescent="0.25">
      <c r="A48" s="165" t="s">
        <v>99</v>
      </c>
      <c r="B48" s="165" t="s">
        <v>137</v>
      </c>
      <c r="C48" s="165" t="s">
        <v>153</v>
      </c>
      <c r="D48" s="165" t="s">
        <v>121</v>
      </c>
      <c r="E48" s="165" t="s">
        <v>134</v>
      </c>
      <c r="F48" s="165" t="s">
        <v>99</v>
      </c>
      <c r="G48" s="165" t="s">
        <v>154</v>
      </c>
      <c r="H48" s="165" t="s">
        <v>155</v>
      </c>
      <c r="I48" s="165">
        <v>-650000</v>
      </c>
      <c r="J48" s="165"/>
      <c r="K48" s="165"/>
      <c r="L48" s="165"/>
      <c r="M48" s="165"/>
      <c r="N48" s="165"/>
      <c r="O48" s="165"/>
      <c r="P48" s="165">
        <v>-158600</v>
      </c>
      <c r="Q48" s="165">
        <v>-491400</v>
      </c>
      <c r="R48" s="165"/>
      <c r="S48" s="165"/>
      <c r="T48" s="165"/>
      <c r="U48" s="165"/>
      <c r="V48" s="165"/>
      <c r="W48" s="165"/>
      <c r="X48" s="69"/>
      <c r="Y48" s="69"/>
      <c r="Z48" s="69"/>
      <c r="AA48" s="69"/>
      <c r="AF48" s="9"/>
      <c r="AG48" s="9"/>
      <c r="AH48" s="9"/>
      <c r="AI48" s="9"/>
      <c r="AJ48" s="9"/>
      <c r="AK48" s="9"/>
      <c r="AL48" s="9"/>
      <c r="AM48" s="9"/>
    </row>
    <row r="49" spans="1:39" x14ac:dyDescent="0.25">
      <c r="A49" s="165" t="s">
        <v>232</v>
      </c>
      <c r="B49" s="165" t="s">
        <v>137</v>
      </c>
      <c r="C49" s="165" t="s">
        <v>230</v>
      </c>
      <c r="D49" s="165" t="s">
        <v>121</v>
      </c>
      <c r="E49" s="165" t="s">
        <v>231</v>
      </c>
      <c r="F49" s="165" t="s">
        <v>232</v>
      </c>
      <c r="G49" s="165" t="s">
        <v>233</v>
      </c>
      <c r="H49" s="165" t="s">
        <v>234</v>
      </c>
      <c r="I49" s="165">
        <v>-10000</v>
      </c>
      <c r="J49" s="165"/>
      <c r="K49" s="165"/>
      <c r="L49" s="165"/>
      <c r="M49" s="165"/>
      <c r="N49" s="165"/>
      <c r="O49" s="165"/>
      <c r="P49" s="165"/>
      <c r="Q49" s="165">
        <v>-10000</v>
      </c>
      <c r="R49" s="165"/>
      <c r="S49" s="165"/>
      <c r="T49" s="165"/>
      <c r="U49" s="165"/>
      <c r="V49" s="165"/>
      <c r="W49" s="165"/>
      <c r="X49" s="69"/>
      <c r="Y49" s="69"/>
      <c r="Z49" s="69"/>
      <c r="AA49" s="69"/>
      <c r="AF49" s="9"/>
      <c r="AG49" s="9"/>
      <c r="AH49" s="9"/>
      <c r="AI49" s="9"/>
      <c r="AJ49" s="9"/>
      <c r="AK49" s="9"/>
      <c r="AL49" s="9"/>
      <c r="AM49" s="9"/>
    </row>
    <row r="50" spans="1:39" ht="15.75" x14ac:dyDescent="0.25">
      <c r="A50" s="181" t="s">
        <v>81</v>
      </c>
      <c r="B50" s="181"/>
      <c r="C50" s="181"/>
      <c r="D50" s="181"/>
      <c r="E50" s="181"/>
      <c r="F50" s="181"/>
      <c r="G50" s="181"/>
      <c r="AF50" s="69"/>
      <c r="AG50" s="69"/>
      <c r="AH50" s="69"/>
      <c r="AI50" s="69"/>
    </row>
    <row r="52" spans="1:39" x14ac:dyDescent="0.25">
      <c r="A52" s="69" t="s">
        <v>44</v>
      </c>
      <c r="B52" s="69" t="s">
        <v>45</v>
      </c>
      <c r="C52" s="69" t="s">
        <v>13</v>
      </c>
      <c r="D52" s="69" t="s">
        <v>89</v>
      </c>
      <c r="E52" s="69" t="s">
        <v>90</v>
      </c>
      <c r="F52" s="69" t="s">
        <v>46</v>
      </c>
      <c r="G52" s="69" t="s">
        <v>91</v>
      </c>
      <c r="H52" s="69" t="s">
        <v>92</v>
      </c>
      <c r="I52" s="69" t="s">
        <v>10</v>
      </c>
      <c r="J52" s="69" t="s">
        <v>42</v>
      </c>
      <c r="K52" s="69" t="s">
        <v>177</v>
      </c>
      <c r="L52" s="69" t="s">
        <v>185</v>
      </c>
      <c r="M52" s="69" t="s">
        <v>4</v>
      </c>
      <c r="N52" s="69" t="s">
        <v>178</v>
      </c>
      <c r="O52" s="69" t="s">
        <v>5</v>
      </c>
      <c r="P52" s="69" t="s">
        <v>107</v>
      </c>
      <c r="Q52" s="69" t="s">
        <v>113</v>
      </c>
      <c r="R52" s="69" t="s">
        <v>179</v>
      </c>
      <c r="S52" s="69" t="s">
        <v>180</v>
      </c>
      <c r="T52" s="69" t="s">
        <v>181</v>
      </c>
      <c r="U52" s="69" t="s">
        <v>182</v>
      </c>
      <c r="V52" s="69" t="s">
        <v>183</v>
      </c>
      <c r="W52" s="69" t="s">
        <v>184</v>
      </c>
      <c r="X52" s="69"/>
      <c r="Y52" s="69"/>
      <c r="AH52" s="9"/>
      <c r="AI52" s="9"/>
      <c r="AJ52" s="9"/>
      <c r="AK52" s="9"/>
      <c r="AL52" s="9"/>
      <c r="AM52" s="9"/>
    </row>
    <row r="53" spans="1:39" x14ac:dyDescent="0.25">
      <c r="A53" s="31" t="s">
        <v>119</v>
      </c>
      <c r="B53" s="31" t="s">
        <v>95</v>
      </c>
      <c r="C53" s="31" t="s">
        <v>120</v>
      </c>
      <c r="D53" s="31" t="s">
        <v>121</v>
      </c>
      <c r="E53" s="31" t="s">
        <v>97</v>
      </c>
      <c r="F53" s="31" t="s">
        <v>122</v>
      </c>
      <c r="G53" s="31" t="s">
        <v>123</v>
      </c>
      <c r="H53" s="31" t="s">
        <v>124</v>
      </c>
      <c r="I53" s="31">
        <v>-600000</v>
      </c>
      <c r="J53" s="31"/>
      <c r="K53" s="31"/>
      <c r="L53" s="31"/>
      <c r="M53" s="31">
        <v>-600000</v>
      </c>
      <c r="N53" s="31"/>
      <c r="O53" s="31"/>
      <c r="P53" s="31"/>
      <c r="Q53" s="31"/>
      <c r="R53" s="31"/>
      <c r="S53" s="69"/>
      <c r="T53" s="69"/>
      <c r="U53" s="69"/>
      <c r="V53" s="69"/>
      <c r="W53" s="69"/>
      <c r="X53" s="113"/>
      <c r="Y53" s="69"/>
      <c r="AH53" s="9"/>
      <c r="AI53" s="9"/>
      <c r="AJ53" s="9"/>
      <c r="AK53" s="9"/>
      <c r="AL53" s="9"/>
      <c r="AM53" s="9"/>
    </row>
    <row r="54" spans="1:39" x14ac:dyDescent="0.25">
      <c r="A54" s="69" t="s">
        <v>119</v>
      </c>
      <c r="B54" s="69" t="s">
        <v>112</v>
      </c>
      <c r="C54" s="69" t="s">
        <v>125</v>
      </c>
      <c r="D54" s="69" t="s">
        <v>121</v>
      </c>
      <c r="E54" s="69" t="s">
        <v>97</v>
      </c>
      <c r="F54" s="69" t="s">
        <v>104</v>
      </c>
      <c r="G54" s="69" t="s">
        <v>126</v>
      </c>
      <c r="H54" s="69" t="s">
        <v>127</v>
      </c>
      <c r="I54" s="69">
        <v>-633000</v>
      </c>
      <c r="J54" s="69"/>
      <c r="K54" s="69"/>
      <c r="L54" s="69"/>
      <c r="M54" s="69"/>
      <c r="N54" s="69"/>
      <c r="O54" s="69"/>
      <c r="P54" s="69"/>
      <c r="Q54" s="69"/>
      <c r="R54" s="69">
        <v>-633000</v>
      </c>
      <c r="S54" s="69"/>
      <c r="T54" s="69"/>
      <c r="U54" s="69"/>
      <c r="V54" s="69"/>
      <c r="W54" s="69"/>
      <c r="X54" s="113"/>
      <c r="Y54" s="69"/>
      <c r="AH54" s="9"/>
      <c r="AI54" s="9"/>
      <c r="AJ54" s="9"/>
      <c r="AK54" s="9"/>
      <c r="AL54" s="9"/>
      <c r="AM54" s="9"/>
    </row>
    <row r="55" spans="1:39" x14ac:dyDescent="0.25">
      <c r="A55" s="69" t="s">
        <v>122</v>
      </c>
      <c r="B55" s="69" t="s">
        <v>96</v>
      </c>
      <c r="C55" s="69" t="s">
        <v>120</v>
      </c>
      <c r="D55" s="69" t="s">
        <v>97</v>
      </c>
      <c r="E55" s="69" t="s">
        <v>121</v>
      </c>
      <c r="F55" s="69" t="s">
        <v>122</v>
      </c>
      <c r="G55" s="69" t="s">
        <v>123</v>
      </c>
      <c r="H55" s="69" t="s">
        <v>128</v>
      </c>
      <c r="I55" s="69">
        <v>600000</v>
      </c>
      <c r="J55" s="69"/>
      <c r="K55" s="69"/>
      <c r="L55" s="69"/>
      <c r="M55" s="69">
        <v>600000</v>
      </c>
      <c r="N55" s="69"/>
      <c r="O55" s="69"/>
      <c r="P55" s="69"/>
      <c r="Q55" s="69"/>
      <c r="R55" s="69"/>
      <c r="S55" s="69"/>
      <c r="T55" s="69"/>
      <c r="U55" s="69"/>
      <c r="V55" s="69"/>
      <c r="W55" s="69"/>
      <c r="X55" s="113"/>
      <c r="Y55" s="69"/>
      <c r="AH55" s="9"/>
      <c r="AI55" s="9"/>
      <c r="AJ55" s="9"/>
      <c r="AK55" s="9"/>
      <c r="AL55" s="9"/>
      <c r="AM55" s="9"/>
    </row>
    <row r="56" spans="1:39" x14ac:dyDescent="0.25">
      <c r="A56" s="69" t="s">
        <v>122</v>
      </c>
      <c r="B56" s="69" t="s">
        <v>112</v>
      </c>
      <c r="C56" s="69" t="s">
        <v>129</v>
      </c>
      <c r="D56" s="69" t="s">
        <v>121</v>
      </c>
      <c r="E56" s="69" t="s">
        <v>97</v>
      </c>
      <c r="F56" s="69" t="s">
        <v>104</v>
      </c>
      <c r="G56" s="69" t="s">
        <v>126</v>
      </c>
      <c r="H56" s="69" t="s">
        <v>127</v>
      </c>
      <c r="I56" s="69">
        <v>-633000</v>
      </c>
      <c r="J56" s="69"/>
      <c r="K56" s="69"/>
      <c r="L56" s="69"/>
      <c r="M56" s="69"/>
      <c r="N56" s="69"/>
      <c r="O56" s="69"/>
      <c r="P56" s="69"/>
      <c r="Q56" s="69"/>
      <c r="R56" s="69">
        <v>-633000</v>
      </c>
      <c r="S56" s="69"/>
      <c r="T56" s="69"/>
      <c r="U56" s="69"/>
      <c r="V56" s="69"/>
      <c r="W56" s="69"/>
      <c r="X56" s="113"/>
      <c r="Y56" s="69"/>
      <c r="Z56" s="9"/>
      <c r="AA56" s="9"/>
      <c r="AB56" s="9"/>
      <c r="AC56" s="9"/>
      <c r="AD56" s="9"/>
      <c r="AE56" s="9"/>
      <c r="AF56" s="9"/>
      <c r="AG56" s="9"/>
      <c r="AH56" s="9"/>
      <c r="AI56" s="9"/>
      <c r="AJ56" s="9"/>
      <c r="AK56" s="9"/>
      <c r="AL56" s="9"/>
      <c r="AM56" s="9"/>
    </row>
    <row r="57" spans="1:39" x14ac:dyDescent="0.25">
      <c r="A57" s="69" t="s">
        <v>98</v>
      </c>
      <c r="B57" s="69" t="s">
        <v>103</v>
      </c>
      <c r="C57" s="69" t="s">
        <v>130</v>
      </c>
      <c r="D57" s="69" t="s">
        <v>121</v>
      </c>
      <c r="E57" s="69" t="s">
        <v>97</v>
      </c>
      <c r="F57" s="69" t="s">
        <v>104</v>
      </c>
      <c r="G57" s="69"/>
      <c r="H57" s="69" t="s">
        <v>131</v>
      </c>
      <c r="I57" s="69">
        <v>-0.92</v>
      </c>
      <c r="J57" s="69"/>
      <c r="K57" s="69"/>
      <c r="L57" s="69"/>
      <c r="M57" s="69">
        <v>0</v>
      </c>
      <c r="N57" s="69">
        <v>0</v>
      </c>
      <c r="O57" s="69">
        <v>0</v>
      </c>
      <c r="P57" s="69"/>
      <c r="Q57" s="69"/>
      <c r="R57" s="69">
        <v>0</v>
      </c>
      <c r="S57" s="69"/>
      <c r="T57" s="69"/>
      <c r="U57" s="69"/>
      <c r="V57" s="69"/>
      <c r="W57" s="69"/>
      <c r="X57" s="113"/>
      <c r="Y57" s="69"/>
      <c r="Z57" s="9"/>
      <c r="AA57" s="9"/>
      <c r="AB57" s="9"/>
      <c r="AC57" s="9"/>
      <c r="AD57" s="9"/>
      <c r="AE57" s="9"/>
      <c r="AF57" s="9"/>
      <c r="AG57" s="9"/>
      <c r="AH57" s="9"/>
      <c r="AI57" s="9"/>
      <c r="AJ57" s="9"/>
      <c r="AK57" s="9"/>
      <c r="AL57" s="9"/>
      <c r="AM57" s="9"/>
    </row>
    <row r="58" spans="1:39" x14ac:dyDescent="0.25">
      <c r="A58" s="69" t="s">
        <v>98</v>
      </c>
      <c r="B58" s="69" t="s">
        <v>132</v>
      </c>
      <c r="C58" s="69" t="s">
        <v>133</v>
      </c>
      <c r="D58" s="69" t="s">
        <v>134</v>
      </c>
      <c r="E58" s="69" t="s">
        <v>121</v>
      </c>
      <c r="F58" s="69" t="s">
        <v>101</v>
      </c>
      <c r="G58" s="69"/>
      <c r="H58" s="69" t="s">
        <v>135</v>
      </c>
      <c r="I58" s="69">
        <v>350000</v>
      </c>
      <c r="J58" s="69"/>
      <c r="K58" s="69"/>
      <c r="L58" s="69"/>
      <c r="M58" s="69">
        <v>350000</v>
      </c>
      <c r="N58" s="69"/>
      <c r="O58" s="69"/>
      <c r="P58" s="69"/>
      <c r="Q58" s="69"/>
      <c r="R58" s="69"/>
      <c r="S58" s="69"/>
      <c r="T58" s="69"/>
      <c r="U58" s="69"/>
      <c r="V58" s="69"/>
      <c r="W58" s="69"/>
      <c r="X58" s="113"/>
      <c r="Y58" s="69"/>
      <c r="Z58" s="9"/>
      <c r="AA58" s="9"/>
      <c r="AB58" s="9"/>
      <c r="AC58" s="9"/>
      <c r="AD58" s="9"/>
      <c r="AE58" s="9"/>
      <c r="AF58" s="9"/>
      <c r="AG58" s="9"/>
      <c r="AH58" s="9"/>
      <c r="AI58" s="9"/>
      <c r="AJ58" s="9"/>
      <c r="AK58" s="9"/>
      <c r="AL58" s="9"/>
      <c r="AM58" s="9"/>
    </row>
    <row r="59" spans="1:39" x14ac:dyDescent="0.25">
      <c r="A59" s="86" t="s">
        <v>98</v>
      </c>
      <c r="B59" s="86" t="s">
        <v>112</v>
      </c>
      <c r="C59" s="86" t="s">
        <v>136</v>
      </c>
      <c r="D59" s="86" t="s">
        <v>121</v>
      </c>
      <c r="E59" s="86" t="s">
        <v>97</v>
      </c>
      <c r="F59" s="86" t="s">
        <v>104</v>
      </c>
      <c r="G59" s="86" t="s">
        <v>126</v>
      </c>
      <c r="H59" s="86" t="s">
        <v>127</v>
      </c>
      <c r="I59" s="86">
        <v>-633000</v>
      </c>
      <c r="J59" s="86"/>
      <c r="K59" s="86"/>
      <c r="L59" s="86"/>
      <c r="M59" s="86"/>
      <c r="N59" s="86"/>
      <c r="O59" s="86"/>
      <c r="P59" s="86"/>
      <c r="Q59" s="86"/>
      <c r="R59" s="86">
        <v>-633000</v>
      </c>
      <c r="S59" s="86"/>
      <c r="T59" s="86"/>
      <c r="U59" s="86"/>
      <c r="V59" s="86"/>
      <c r="W59" s="86"/>
      <c r="X59" s="114"/>
      <c r="Y59" s="86"/>
      <c r="Z59" s="9"/>
      <c r="AA59" s="9"/>
      <c r="AB59" s="9"/>
      <c r="AC59" s="9"/>
      <c r="AD59" s="9"/>
      <c r="AE59" s="9"/>
      <c r="AF59" s="9"/>
      <c r="AG59" s="9"/>
      <c r="AH59" s="9"/>
      <c r="AI59" s="9"/>
      <c r="AJ59" s="9"/>
      <c r="AK59" s="9"/>
      <c r="AL59" s="9"/>
      <c r="AM59" s="9"/>
    </row>
    <row r="60" spans="1:39" x14ac:dyDescent="0.25">
      <c r="A60" s="99" t="s">
        <v>101</v>
      </c>
      <c r="B60" s="99" t="s">
        <v>137</v>
      </c>
      <c r="C60" s="99" t="s">
        <v>133</v>
      </c>
      <c r="D60" s="99" t="s">
        <v>121</v>
      </c>
      <c r="E60" s="99" t="s">
        <v>134</v>
      </c>
      <c r="F60" s="99" t="s">
        <v>101</v>
      </c>
      <c r="G60" s="99"/>
      <c r="H60" s="99" t="s">
        <v>138</v>
      </c>
      <c r="I60" s="99">
        <v>-350000</v>
      </c>
      <c r="J60" s="99"/>
      <c r="K60" s="99"/>
      <c r="L60" s="99"/>
      <c r="M60" s="99">
        <v>-350000</v>
      </c>
      <c r="N60" s="99"/>
      <c r="O60" s="99"/>
      <c r="P60" s="99"/>
      <c r="Q60" s="99"/>
      <c r="R60" s="99"/>
      <c r="S60" s="99"/>
      <c r="T60" s="99"/>
      <c r="U60" s="99"/>
      <c r="V60" s="99"/>
      <c r="W60" s="99"/>
      <c r="X60" s="114"/>
      <c r="Y60" s="99"/>
      <c r="Z60" s="9"/>
      <c r="AA60" s="9"/>
      <c r="AB60" s="9"/>
      <c r="AC60" s="9"/>
      <c r="AD60" s="9"/>
      <c r="AE60" s="9"/>
      <c r="AF60" s="9"/>
      <c r="AG60" s="9"/>
      <c r="AH60" s="9"/>
      <c r="AI60" s="9"/>
      <c r="AJ60" s="9"/>
      <c r="AK60" s="9"/>
      <c r="AL60" s="9"/>
      <c r="AM60" s="9"/>
    </row>
    <row r="61" spans="1:39" x14ac:dyDescent="0.25">
      <c r="A61" s="99" t="s">
        <v>101</v>
      </c>
      <c r="B61" s="99" t="s">
        <v>112</v>
      </c>
      <c r="C61" s="99" t="s">
        <v>139</v>
      </c>
      <c r="D61" s="99" t="s">
        <v>121</v>
      </c>
      <c r="E61" s="99" t="s">
        <v>97</v>
      </c>
      <c r="F61" s="99" t="s">
        <v>104</v>
      </c>
      <c r="G61" s="99" t="s">
        <v>126</v>
      </c>
      <c r="H61" s="99" t="s">
        <v>140</v>
      </c>
      <c r="I61" s="99">
        <v>-633000</v>
      </c>
      <c r="J61" s="99"/>
      <c r="K61" s="99"/>
      <c r="L61" s="99"/>
      <c r="M61" s="99"/>
      <c r="N61" s="99"/>
      <c r="O61" s="99"/>
      <c r="P61" s="99"/>
      <c r="Q61" s="99"/>
      <c r="R61" s="99">
        <v>-633000</v>
      </c>
      <c r="S61" s="99"/>
      <c r="T61" s="99"/>
      <c r="U61" s="99"/>
      <c r="V61" s="99"/>
      <c r="W61" s="99"/>
      <c r="X61" s="114"/>
      <c r="Y61" s="99"/>
      <c r="Z61" s="9"/>
      <c r="AA61" s="9"/>
      <c r="AB61" s="9"/>
      <c r="AC61" s="9"/>
      <c r="AD61" s="9"/>
      <c r="AE61" s="9"/>
      <c r="AF61" s="9"/>
      <c r="AG61" s="9"/>
      <c r="AH61" s="9"/>
      <c r="AI61" s="9"/>
      <c r="AJ61" s="9"/>
      <c r="AK61" s="9"/>
      <c r="AL61" s="9"/>
      <c r="AM61" s="9"/>
    </row>
    <row r="62" spans="1:39" x14ac:dyDescent="0.25">
      <c r="A62" s="104" t="s">
        <v>100</v>
      </c>
      <c r="B62" s="104" t="s">
        <v>132</v>
      </c>
      <c r="C62" s="104" t="s">
        <v>141</v>
      </c>
      <c r="D62" s="104" t="s">
        <v>116</v>
      </c>
      <c r="E62" s="104" t="s">
        <v>121</v>
      </c>
      <c r="F62" s="104" t="s">
        <v>105</v>
      </c>
      <c r="G62" s="104"/>
      <c r="H62" s="104" t="s">
        <v>142</v>
      </c>
      <c r="I62" s="104">
        <v>137000</v>
      </c>
      <c r="J62" s="104"/>
      <c r="K62" s="104"/>
      <c r="L62" s="104"/>
      <c r="M62" s="104">
        <v>137000</v>
      </c>
      <c r="N62" s="104"/>
      <c r="O62" s="104"/>
      <c r="P62" s="104"/>
      <c r="Q62" s="104"/>
      <c r="R62" s="104"/>
      <c r="S62" s="104"/>
      <c r="T62" s="104"/>
      <c r="U62" s="104"/>
      <c r="V62" s="104"/>
      <c r="W62" s="104"/>
      <c r="X62" s="114"/>
      <c r="Y62" s="104"/>
      <c r="Z62" s="9"/>
      <c r="AA62" s="9"/>
      <c r="AB62" s="9"/>
      <c r="AC62" s="9"/>
      <c r="AD62" s="9"/>
      <c r="AE62" s="9"/>
      <c r="AF62" s="9"/>
      <c r="AG62" s="9"/>
      <c r="AH62" s="9"/>
      <c r="AI62" s="9"/>
      <c r="AJ62" s="9"/>
      <c r="AK62" s="9"/>
      <c r="AL62" s="9"/>
      <c r="AM62" s="9"/>
    </row>
    <row r="63" spans="1:39" x14ac:dyDescent="0.25">
      <c r="A63" s="104" t="s">
        <v>100</v>
      </c>
      <c r="B63" s="104" t="s">
        <v>95</v>
      </c>
      <c r="C63" s="104" t="s">
        <v>143</v>
      </c>
      <c r="D63" s="104" t="s">
        <v>121</v>
      </c>
      <c r="E63" s="104" t="s">
        <v>97</v>
      </c>
      <c r="F63" s="104" t="s">
        <v>105</v>
      </c>
      <c r="G63" s="104" t="s">
        <v>144</v>
      </c>
      <c r="H63" s="104" t="s">
        <v>145</v>
      </c>
      <c r="I63" s="104">
        <v>-70000</v>
      </c>
      <c r="J63" s="104"/>
      <c r="K63" s="104"/>
      <c r="L63" s="104"/>
      <c r="M63" s="104"/>
      <c r="N63" s="104"/>
      <c r="O63" s="104"/>
      <c r="P63" s="104"/>
      <c r="Q63" s="104"/>
      <c r="R63" s="104">
        <v>-70000</v>
      </c>
      <c r="S63" s="104"/>
      <c r="T63" s="104"/>
      <c r="U63" s="104"/>
      <c r="V63" s="104"/>
      <c r="W63" s="104"/>
      <c r="X63" s="114"/>
      <c r="Y63" s="104"/>
      <c r="Z63" s="9"/>
      <c r="AA63" s="9"/>
      <c r="AB63" s="9"/>
      <c r="AC63" s="9"/>
      <c r="AD63" s="9"/>
      <c r="AE63" s="9"/>
      <c r="AF63" s="9"/>
      <c r="AG63" s="9"/>
      <c r="AH63" s="9"/>
      <c r="AI63" s="9"/>
      <c r="AJ63" s="9"/>
      <c r="AK63" s="9"/>
      <c r="AL63" s="9"/>
      <c r="AM63" s="9"/>
    </row>
    <row r="64" spans="1:39" x14ac:dyDescent="0.25">
      <c r="A64" s="25" t="s">
        <v>100</v>
      </c>
      <c r="B64" s="25" t="s">
        <v>95</v>
      </c>
      <c r="C64" s="25" t="s">
        <v>146</v>
      </c>
      <c r="D64" s="25" t="s">
        <v>121</v>
      </c>
      <c r="E64" s="25" t="s">
        <v>97</v>
      </c>
      <c r="F64" s="25" t="s">
        <v>105</v>
      </c>
      <c r="H64" s="25" t="s">
        <v>147</v>
      </c>
      <c r="I64" s="25">
        <v>-25090.12</v>
      </c>
      <c r="N64" s="25">
        <v>-25090.12</v>
      </c>
      <c r="X64" s="114"/>
      <c r="AD64" s="9"/>
      <c r="AE64" s="9"/>
      <c r="AF64" s="9"/>
      <c r="AG64" s="9"/>
      <c r="AH64" s="9"/>
      <c r="AI64" s="9"/>
      <c r="AJ64" s="9"/>
      <c r="AK64" s="9"/>
      <c r="AL64" s="9"/>
      <c r="AM64" s="9"/>
    </row>
    <row r="65" spans="1:39" x14ac:dyDescent="0.25">
      <c r="A65" s="25" t="s">
        <v>100</v>
      </c>
      <c r="B65" s="25" t="s">
        <v>95</v>
      </c>
      <c r="C65" s="25" t="s">
        <v>146</v>
      </c>
      <c r="D65" s="25" t="s">
        <v>121</v>
      </c>
      <c r="E65" s="25" t="s">
        <v>97</v>
      </c>
      <c r="F65" s="25" t="s">
        <v>105</v>
      </c>
      <c r="H65" s="25" t="s">
        <v>145</v>
      </c>
      <c r="I65" s="25">
        <v>-31935.71</v>
      </c>
      <c r="R65" s="25">
        <v>-31935.71</v>
      </c>
      <c r="X65" s="114"/>
      <c r="AD65" s="9"/>
      <c r="AE65" s="9"/>
      <c r="AF65" s="9"/>
      <c r="AG65" s="9"/>
      <c r="AH65" s="9"/>
      <c r="AI65" s="9"/>
      <c r="AJ65" s="9"/>
      <c r="AK65" s="9"/>
      <c r="AL65" s="9"/>
      <c r="AM65" s="9"/>
    </row>
    <row r="66" spans="1:39" x14ac:dyDescent="0.25">
      <c r="A66" s="114" t="s">
        <v>100</v>
      </c>
      <c r="B66" s="114" t="s">
        <v>95</v>
      </c>
      <c r="C66" s="114" t="s">
        <v>148</v>
      </c>
      <c r="D66" s="114" t="s">
        <v>121</v>
      </c>
      <c r="E66" s="114" t="s">
        <v>97</v>
      </c>
      <c r="F66" s="114" t="s">
        <v>105</v>
      </c>
      <c r="G66" s="114"/>
      <c r="H66" s="114" t="s">
        <v>149</v>
      </c>
      <c r="I66" s="114">
        <v>-593000</v>
      </c>
      <c r="J66" s="114"/>
      <c r="K66" s="114"/>
      <c r="L66" s="114"/>
      <c r="M66" s="114">
        <v>-593000</v>
      </c>
      <c r="N66" s="114"/>
      <c r="O66" s="114"/>
      <c r="P66" s="114"/>
      <c r="Q66" s="114"/>
      <c r="R66" s="114"/>
      <c r="S66" s="114"/>
      <c r="T66" s="114"/>
      <c r="U66" s="114"/>
      <c r="V66" s="114"/>
      <c r="W66" s="114"/>
      <c r="X66" s="114"/>
      <c r="AD66" s="9"/>
      <c r="AE66" s="9"/>
      <c r="AF66" s="9"/>
      <c r="AG66" s="9"/>
      <c r="AH66" s="9"/>
      <c r="AI66" s="9"/>
      <c r="AJ66" s="9"/>
      <c r="AK66" s="9"/>
      <c r="AL66" s="9"/>
      <c r="AM66" s="9"/>
    </row>
    <row r="67" spans="1:39" x14ac:dyDescent="0.25">
      <c r="A67" s="114" t="s">
        <v>100</v>
      </c>
      <c r="B67" s="114" t="s">
        <v>112</v>
      </c>
      <c r="C67" s="114" t="s">
        <v>150</v>
      </c>
      <c r="D67" s="114" t="s">
        <v>121</v>
      </c>
      <c r="E67" s="114" t="s">
        <v>97</v>
      </c>
      <c r="F67" s="114" t="s">
        <v>104</v>
      </c>
      <c r="G67" s="114" t="s">
        <v>151</v>
      </c>
      <c r="H67" s="114" t="s">
        <v>152</v>
      </c>
      <c r="I67" s="114">
        <v>-150000</v>
      </c>
      <c r="J67" s="114"/>
      <c r="K67" s="114"/>
      <c r="L67" s="114"/>
      <c r="M67" s="114"/>
      <c r="N67" s="114"/>
      <c r="O67" s="114"/>
      <c r="P67" s="114"/>
      <c r="Q67" s="114"/>
      <c r="R67" s="114">
        <v>-150000</v>
      </c>
      <c r="S67" s="114"/>
      <c r="T67" s="114"/>
      <c r="U67" s="114"/>
      <c r="V67" s="114"/>
      <c r="W67" s="114"/>
      <c r="X67" s="69"/>
      <c r="Y67" s="69"/>
      <c r="AD67" s="9"/>
      <c r="AE67" s="9"/>
      <c r="AF67" s="9"/>
      <c r="AG67" s="9"/>
      <c r="AH67" s="9"/>
      <c r="AI67" s="9"/>
      <c r="AJ67" s="9"/>
      <c r="AK67" s="9"/>
      <c r="AL67" s="9"/>
      <c r="AM67" s="9"/>
    </row>
    <row r="68" spans="1:39" x14ac:dyDescent="0.25">
      <c r="A68" s="114" t="s">
        <v>105</v>
      </c>
      <c r="B68" s="114" t="s">
        <v>132</v>
      </c>
      <c r="C68" s="114" t="s">
        <v>153</v>
      </c>
      <c r="D68" s="114" t="s">
        <v>134</v>
      </c>
      <c r="E68" s="114" t="s">
        <v>121</v>
      </c>
      <c r="F68" s="114" t="s">
        <v>99</v>
      </c>
      <c r="G68" s="114" t="s">
        <v>154</v>
      </c>
      <c r="H68" s="114" t="s">
        <v>155</v>
      </c>
      <c r="I68" s="114">
        <v>650000</v>
      </c>
      <c r="J68" s="114"/>
      <c r="K68" s="114"/>
      <c r="L68" s="114"/>
      <c r="M68" s="114"/>
      <c r="N68" s="114"/>
      <c r="O68" s="114"/>
      <c r="P68" s="114"/>
      <c r="Q68" s="114"/>
      <c r="R68" s="114">
        <v>650000</v>
      </c>
      <c r="S68" s="114"/>
      <c r="T68" s="114"/>
      <c r="U68" s="114"/>
      <c r="V68" s="114"/>
      <c r="W68" s="114"/>
      <c r="AD68" s="9"/>
      <c r="AE68" s="9"/>
      <c r="AF68" s="9"/>
      <c r="AG68" s="9"/>
      <c r="AH68" s="9"/>
      <c r="AI68" s="9"/>
      <c r="AJ68" s="9"/>
      <c r="AK68" s="9"/>
      <c r="AL68" s="9"/>
      <c r="AM68" s="9"/>
    </row>
    <row r="69" spans="1:39" x14ac:dyDescent="0.25">
      <c r="A69" s="114" t="s">
        <v>105</v>
      </c>
      <c r="B69" s="114" t="s">
        <v>95</v>
      </c>
      <c r="C69" s="114" t="s">
        <v>156</v>
      </c>
      <c r="D69" s="114" t="s">
        <v>121</v>
      </c>
      <c r="E69" s="114" t="s">
        <v>97</v>
      </c>
      <c r="F69" s="114" t="s">
        <v>106</v>
      </c>
      <c r="G69" s="114" t="s">
        <v>157</v>
      </c>
      <c r="H69" s="114" t="s">
        <v>147</v>
      </c>
      <c r="I69" s="114">
        <v>-25000</v>
      </c>
      <c r="J69" s="114"/>
      <c r="K69" s="114"/>
      <c r="L69" s="114"/>
      <c r="M69" s="114"/>
      <c r="N69" s="114">
        <v>-25000</v>
      </c>
      <c r="O69" s="114"/>
      <c r="P69" s="114"/>
      <c r="Q69" s="114"/>
      <c r="R69" s="114"/>
      <c r="S69" s="114"/>
      <c r="T69" s="114"/>
      <c r="U69" s="114"/>
      <c r="V69" s="114"/>
      <c r="W69" s="114"/>
      <c r="AD69" s="9"/>
      <c r="AE69" s="9"/>
      <c r="AF69" s="9"/>
      <c r="AG69" s="9"/>
      <c r="AH69" s="9"/>
      <c r="AI69" s="9"/>
      <c r="AJ69" s="9"/>
      <c r="AK69" s="9"/>
      <c r="AL69" s="9"/>
      <c r="AM69" s="9"/>
    </row>
    <row r="70" spans="1:39" x14ac:dyDescent="0.25">
      <c r="A70" s="114" t="s">
        <v>105</v>
      </c>
      <c r="B70" s="114" t="s">
        <v>95</v>
      </c>
      <c r="C70" s="114" t="s">
        <v>156</v>
      </c>
      <c r="D70" s="114" t="s">
        <v>121</v>
      </c>
      <c r="E70" s="114" t="s">
        <v>97</v>
      </c>
      <c r="F70" s="114" t="s">
        <v>106</v>
      </c>
      <c r="G70" s="114" t="s">
        <v>157</v>
      </c>
      <c r="H70" s="114" t="s">
        <v>158</v>
      </c>
      <c r="I70" s="114">
        <v>-25000</v>
      </c>
      <c r="J70" s="114"/>
      <c r="K70" s="114"/>
      <c r="L70" s="114"/>
      <c r="M70" s="114"/>
      <c r="N70" s="114"/>
      <c r="O70" s="114">
        <v>-25000</v>
      </c>
      <c r="P70" s="114"/>
      <c r="Q70" s="114"/>
      <c r="R70" s="114"/>
      <c r="S70" s="114"/>
      <c r="T70" s="114"/>
      <c r="U70" s="114"/>
      <c r="V70" s="114"/>
      <c r="W70" s="114"/>
      <c r="AD70" s="9"/>
      <c r="AE70" s="9"/>
      <c r="AF70" s="9"/>
      <c r="AG70" s="9"/>
      <c r="AH70" s="9"/>
      <c r="AI70" s="9"/>
      <c r="AJ70" s="9"/>
      <c r="AK70" s="9"/>
      <c r="AL70" s="9"/>
      <c r="AM70" s="9"/>
    </row>
    <row r="71" spans="1:39" x14ac:dyDescent="0.25">
      <c r="A71" s="114" t="s">
        <v>105</v>
      </c>
      <c r="B71" s="114" t="s">
        <v>95</v>
      </c>
      <c r="C71" s="114" t="s">
        <v>159</v>
      </c>
      <c r="D71" s="114" t="s">
        <v>121</v>
      </c>
      <c r="E71" s="114" t="s">
        <v>97</v>
      </c>
      <c r="F71" s="114" t="s">
        <v>106</v>
      </c>
      <c r="G71" s="114" t="s">
        <v>160</v>
      </c>
      <c r="H71" s="114" t="s">
        <v>145</v>
      </c>
      <c r="I71" s="114">
        <v>-34000</v>
      </c>
      <c r="J71" s="114"/>
      <c r="K71" s="114"/>
      <c r="L71" s="114"/>
      <c r="M71" s="114"/>
      <c r="N71" s="114"/>
      <c r="O71" s="114"/>
      <c r="P71" s="114"/>
      <c r="Q71" s="114"/>
      <c r="R71" s="114">
        <v>-34000</v>
      </c>
      <c r="S71" s="114"/>
      <c r="T71" s="114"/>
      <c r="U71" s="114"/>
      <c r="V71" s="114"/>
      <c r="W71" s="114"/>
      <c r="AD71" s="9"/>
      <c r="AE71" s="9"/>
      <c r="AF71" s="9"/>
      <c r="AG71" s="9"/>
      <c r="AH71" s="9"/>
      <c r="AI71" s="9"/>
      <c r="AJ71" s="9"/>
      <c r="AK71" s="9"/>
      <c r="AL71" s="9"/>
      <c r="AM71" s="9"/>
    </row>
    <row r="72" spans="1:39" x14ac:dyDescent="0.25">
      <c r="A72" s="114" t="s">
        <v>105</v>
      </c>
      <c r="B72" s="114" t="s">
        <v>95</v>
      </c>
      <c r="C72" s="114" t="s">
        <v>159</v>
      </c>
      <c r="D72" s="114" t="s">
        <v>121</v>
      </c>
      <c r="E72" s="114" t="s">
        <v>97</v>
      </c>
      <c r="F72" s="114" t="s">
        <v>106</v>
      </c>
      <c r="G72" s="114" t="s">
        <v>161</v>
      </c>
      <c r="H72" s="114" t="s">
        <v>145</v>
      </c>
      <c r="I72" s="114">
        <v>-274788.05</v>
      </c>
      <c r="J72" s="114"/>
      <c r="K72" s="114"/>
      <c r="L72" s="114"/>
      <c r="M72" s="114">
        <v>-274788.05</v>
      </c>
      <c r="N72" s="114"/>
      <c r="O72" s="114"/>
      <c r="P72" s="114"/>
      <c r="Q72" s="114"/>
      <c r="R72" s="114"/>
      <c r="S72" s="114"/>
      <c r="T72" s="114"/>
      <c r="U72" s="114"/>
      <c r="V72" s="114"/>
      <c r="W72" s="114"/>
      <c r="AD72" s="9"/>
      <c r="AE72" s="9"/>
      <c r="AF72" s="9"/>
      <c r="AG72" s="9"/>
      <c r="AH72" s="9"/>
      <c r="AI72" s="9"/>
      <c r="AJ72" s="9"/>
      <c r="AK72" s="9"/>
      <c r="AL72" s="9"/>
      <c r="AM72" s="9"/>
    </row>
    <row r="73" spans="1:39" x14ac:dyDescent="0.25">
      <c r="A73" s="114" t="s">
        <v>105</v>
      </c>
      <c r="B73" s="114" t="s">
        <v>95</v>
      </c>
      <c r="C73" s="114" t="s">
        <v>162</v>
      </c>
      <c r="D73" s="114" t="s">
        <v>121</v>
      </c>
      <c r="E73" s="114" t="s">
        <v>97</v>
      </c>
      <c r="F73" s="114" t="s">
        <v>106</v>
      </c>
      <c r="G73" s="114" t="s">
        <v>163</v>
      </c>
      <c r="H73" s="114" t="s">
        <v>145</v>
      </c>
      <c r="I73" s="114">
        <v>-570835.57999999996</v>
      </c>
      <c r="J73" s="114"/>
      <c r="K73" s="114"/>
      <c r="L73" s="114"/>
      <c r="M73" s="114"/>
      <c r="N73" s="114"/>
      <c r="O73" s="114"/>
      <c r="P73" s="114"/>
      <c r="Q73" s="114"/>
      <c r="R73" s="114">
        <v>-570835.57999999996</v>
      </c>
      <c r="S73" s="114"/>
      <c r="T73" s="114"/>
      <c r="U73" s="114"/>
      <c r="V73" s="114"/>
      <c r="W73" s="114"/>
      <c r="AD73" s="9"/>
      <c r="AE73" s="9"/>
      <c r="AF73" s="9"/>
      <c r="AG73" s="9"/>
      <c r="AH73" s="9"/>
      <c r="AI73" s="9"/>
      <c r="AJ73" s="9"/>
      <c r="AK73" s="9"/>
      <c r="AL73" s="9"/>
      <c r="AM73" s="9"/>
    </row>
    <row r="74" spans="1:39" x14ac:dyDescent="0.25">
      <c r="A74" s="114" t="s">
        <v>105</v>
      </c>
      <c r="B74" s="114" t="s">
        <v>96</v>
      </c>
      <c r="C74" s="114" t="s">
        <v>143</v>
      </c>
      <c r="D74" s="114" t="s">
        <v>97</v>
      </c>
      <c r="E74" s="114" t="s">
        <v>121</v>
      </c>
      <c r="F74" s="114" t="s">
        <v>105</v>
      </c>
      <c r="G74" s="114" t="s">
        <v>144</v>
      </c>
      <c r="H74" s="114" t="s">
        <v>145</v>
      </c>
      <c r="I74" s="114">
        <v>70000</v>
      </c>
      <c r="J74" s="114"/>
      <c r="K74" s="114"/>
      <c r="L74" s="114"/>
      <c r="M74" s="114"/>
      <c r="N74" s="114"/>
      <c r="O74" s="114"/>
      <c r="P74" s="114"/>
      <c r="Q74" s="114"/>
      <c r="R74" s="114">
        <v>70000</v>
      </c>
      <c r="S74" s="114"/>
      <c r="T74" s="114"/>
      <c r="U74" s="114"/>
      <c r="V74" s="114"/>
      <c r="W74" s="114"/>
      <c r="AD74" s="9"/>
      <c r="AE74" s="9"/>
      <c r="AF74" s="9"/>
      <c r="AG74" s="9"/>
      <c r="AH74" s="9"/>
      <c r="AI74" s="9"/>
      <c r="AJ74" s="9"/>
      <c r="AK74" s="9"/>
      <c r="AL74" s="9"/>
      <c r="AM74" s="9"/>
    </row>
    <row r="75" spans="1:39" x14ac:dyDescent="0.25">
      <c r="A75" s="114" t="s">
        <v>105</v>
      </c>
      <c r="B75" s="114" t="s">
        <v>96</v>
      </c>
      <c r="C75" s="114" t="s">
        <v>146</v>
      </c>
      <c r="D75" s="114" t="s">
        <v>97</v>
      </c>
      <c r="E75" s="114" t="s">
        <v>121</v>
      </c>
      <c r="F75" s="114" t="s">
        <v>105</v>
      </c>
      <c r="G75" s="114"/>
      <c r="H75" s="114" t="s">
        <v>147</v>
      </c>
      <c r="I75" s="114">
        <v>25090.12</v>
      </c>
      <c r="J75" s="114"/>
      <c r="K75" s="114"/>
      <c r="L75" s="114"/>
      <c r="M75" s="114"/>
      <c r="N75" s="114">
        <v>25090.12</v>
      </c>
      <c r="O75" s="114"/>
      <c r="P75" s="114"/>
      <c r="Q75" s="114"/>
      <c r="R75" s="114"/>
      <c r="S75" s="114"/>
      <c r="T75" s="114"/>
      <c r="U75" s="114"/>
      <c r="V75" s="114"/>
      <c r="W75" s="114"/>
      <c r="AD75" s="9"/>
      <c r="AE75" s="9"/>
      <c r="AF75" s="9"/>
      <c r="AG75" s="9"/>
      <c r="AH75" s="9"/>
      <c r="AI75" s="9"/>
      <c r="AJ75" s="9"/>
      <c r="AK75" s="9"/>
      <c r="AL75" s="9"/>
      <c r="AM75" s="9"/>
    </row>
    <row r="76" spans="1:39" x14ac:dyDescent="0.25">
      <c r="A76" s="114" t="s">
        <v>105</v>
      </c>
      <c r="B76" s="114" t="s">
        <v>96</v>
      </c>
      <c r="C76" s="114" t="s">
        <v>146</v>
      </c>
      <c r="D76" s="114" t="s">
        <v>97</v>
      </c>
      <c r="E76" s="114" t="s">
        <v>121</v>
      </c>
      <c r="F76" s="114" t="s">
        <v>105</v>
      </c>
      <c r="G76" s="114"/>
      <c r="H76" s="114" t="s">
        <v>145</v>
      </c>
      <c r="I76" s="114">
        <v>31935.71</v>
      </c>
      <c r="J76" s="114"/>
      <c r="K76" s="114"/>
      <c r="L76" s="114"/>
      <c r="M76" s="114"/>
      <c r="N76" s="114"/>
      <c r="O76" s="114"/>
      <c r="P76" s="114"/>
      <c r="Q76" s="114"/>
      <c r="R76" s="114">
        <v>31935.71</v>
      </c>
      <c r="S76" s="114"/>
      <c r="T76" s="114"/>
      <c r="U76" s="114"/>
      <c r="V76" s="114"/>
      <c r="W76" s="114"/>
      <c r="AH76" s="9"/>
      <c r="AI76" s="9"/>
      <c r="AJ76" s="9"/>
      <c r="AK76" s="9"/>
      <c r="AL76" s="9"/>
      <c r="AM76" s="9"/>
    </row>
    <row r="77" spans="1:39" x14ac:dyDescent="0.25">
      <c r="A77" s="25" t="s">
        <v>105</v>
      </c>
      <c r="B77" s="25" t="s">
        <v>96</v>
      </c>
      <c r="C77" s="25" t="s">
        <v>148</v>
      </c>
      <c r="D77" s="25" t="s">
        <v>97</v>
      </c>
      <c r="E77" s="25" t="s">
        <v>121</v>
      </c>
      <c r="F77" s="25" t="s">
        <v>105</v>
      </c>
      <c r="H77" s="25" t="s">
        <v>149</v>
      </c>
      <c r="I77" s="25">
        <v>593000</v>
      </c>
      <c r="M77" s="25">
        <v>593000</v>
      </c>
      <c r="AH77" s="9"/>
      <c r="AI77" s="9"/>
      <c r="AJ77" s="9"/>
      <c r="AK77" s="9"/>
      <c r="AL77" s="9"/>
      <c r="AM77" s="9"/>
    </row>
    <row r="78" spans="1:39" x14ac:dyDescent="0.25">
      <c r="A78" s="25" t="s">
        <v>105</v>
      </c>
      <c r="B78" s="25" t="s">
        <v>137</v>
      </c>
      <c r="C78" s="25" t="s">
        <v>141</v>
      </c>
      <c r="D78" s="25" t="s">
        <v>121</v>
      </c>
      <c r="E78" s="25" t="s">
        <v>116</v>
      </c>
      <c r="F78" s="25" t="s">
        <v>105</v>
      </c>
      <c r="H78" s="25" t="s">
        <v>142</v>
      </c>
      <c r="I78" s="25">
        <v>-137000</v>
      </c>
      <c r="M78" s="25">
        <v>-137000</v>
      </c>
      <c r="AH78" s="9"/>
      <c r="AI78" s="9"/>
      <c r="AJ78" s="9"/>
      <c r="AK78" s="9"/>
      <c r="AL78" s="9"/>
      <c r="AM78" s="9"/>
    </row>
    <row r="79" spans="1:39" x14ac:dyDescent="0.25">
      <c r="A79" s="25" t="s">
        <v>105</v>
      </c>
      <c r="B79" s="25" t="s">
        <v>112</v>
      </c>
      <c r="C79" s="25" t="s">
        <v>164</v>
      </c>
      <c r="D79" s="25" t="s">
        <v>121</v>
      </c>
      <c r="E79" s="25" t="s">
        <v>97</v>
      </c>
      <c r="F79" s="25" t="s">
        <v>104</v>
      </c>
      <c r="G79" s="25" t="s">
        <v>165</v>
      </c>
      <c r="H79" s="25" t="s">
        <v>166</v>
      </c>
      <c r="I79" s="25">
        <v>-230000</v>
      </c>
      <c r="M79" s="25">
        <v>-230000</v>
      </c>
      <c r="AH79" s="9"/>
      <c r="AI79" s="9"/>
      <c r="AJ79" s="9"/>
      <c r="AK79" s="9"/>
      <c r="AL79" s="9"/>
      <c r="AM79" s="9"/>
    </row>
    <row r="80" spans="1:39" x14ac:dyDescent="0.25">
      <c r="A80" s="25" t="s">
        <v>105</v>
      </c>
      <c r="B80" s="25" t="s">
        <v>112</v>
      </c>
      <c r="C80" s="25" t="s">
        <v>167</v>
      </c>
      <c r="D80" s="25" t="s">
        <v>121</v>
      </c>
      <c r="E80" s="25" t="s">
        <v>97</v>
      </c>
      <c r="F80" s="25" t="s">
        <v>104</v>
      </c>
      <c r="G80" s="25" t="s">
        <v>163</v>
      </c>
      <c r="H80" s="25" t="s">
        <v>152</v>
      </c>
      <c r="I80" s="25">
        <v>-50000</v>
      </c>
      <c r="R80" s="25">
        <v>-50000</v>
      </c>
      <c r="AH80" s="9"/>
      <c r="AI80" s="9"/>
      <c r="AJ80" s="9"/>
      <c r="AK80" s="9"/>
      <c r="AL80" s="9"/>
      <c r="AM80" s="9"/>
    </row>
    <row r="81" spans="1:39" x14ac:dyDescent="0.25">
      <c r="A81" s="25" t="s">
        <v>105</v>
      </c>
      <c r="B81" s="25" t="s">
        <v>112</v>
      </c>
      <c r="C81" s="25" t="s">
        <v>168</v>
      </c>
      <c r="D81" s="25" t="s">
        <v>121</v>
      </c>
      <c r="E81" s="25" t="s">
        <v>134</v>
      </c>
      <c r="F81" s="25" t="s">
        <v>104</v>
      </c>
      <c r="G81" s="25" t="s">
        <v>117</v>
      </c>
      <c r="H81" s="25" t="s">
        <v>169</v>
      </c>
      <c r="I81" s="25">
        <v>-45000</v>
      </c>
      <c r="M81" s="25">
        <v>-45000</v>
      </c>
      <c r="AH81" s="9"/>
      <c r="AI81" s="9"/>
      <c r="AJ81" s="9"/>
      <c r="AK81" s="9"/>
      <c r="AL81" s="9"/>
      <c r="AM81" s="9"/>
    </row>
    <row r="82" spans="1:39" x14ac:dyDescent="0.25">
      <c r="A82" s="25" t="s">
        <v>106</v>
      </c>
      <c r="B82" s="25" t="s">
        <v>96</v>
      </c>
      <c r="C82" s="25" t="s">
        <v>156</v>
      </c>
      <c r="D82" s="25" t="s">
        <v>97</v>
      </c>
      <c r="E82" s="25" t="s">
        <v>121</v>
      </c>
      <c r="F82" s="25" t="s">
        <v>106</v>
      </c>
      <c r="G82" s="25" t="s">
        <v>157</v>
      </c>
      <c r="H82" s="25" t="s">
        <v>147</v>
      </c>
      <c r="I82" s="25">
        <v>25000</v>
      </c>
      <c r="N82" s="25">
        <v>25000</v>
      </c>
      <c r="AH82" s="9"/>
      <c r="AI82" s="9"/>
      <c r="AJ82" s="9"/>
      <c r="AK82" s="9"/>
      <c r="AL82" s="9"/>
      <c r="AM82" s="9"/>
    </row>
    <row r="83" spans="1:39" x14ac:dyDescent="0.25">
      <c r="A83" s="25" t="s">
        <v>106</v>
      </c>
      <c r="B83" s="25" t="s">
        <v>96</v>
      </c>
      <c r="C83" s="25" t="s">
        <v>156</v>
      </c>
      <c r="D83" s="25" t="s">
        <v>97</v>
      </c>
      <c r="E83" s="25" t="s">
        <v>121</v>
      </c>
      <c r="F83" s="25" t="s">
        <v>106</v>
      </c>
      <c r="G83" s="25" t="s">
        <v>157</v>
      </c>
      <c r="H83" s="25" t="s">
        <v>158</v>
      </c>
      <c r="I83" s="25">
        <v>25000</v>
      </c>
      <c r="O83" s="25">
        <v>25000</v>
      </c>
      <c r="AH83" s="9"/>
      <c r="AI83" s="9"/>
      <c r="AJ83" s="9"/>
      <c r="AK83" s="9"/>
      <c r="AL83" s="9"/>
      <c r="AM83" s="9"/>
    </row>
    <row r="84" spans="1:39" x14ac:dyDescent="0.25">
      <c r="A84" s="25" t="s">
        <v>106</v>
      </c>
      <c r="B84" s="25" t="s">
        <v>96</v>
      </c>
      <c r="C84" s="25" t="s">
        <v>159</v>
      </c>
      <c r="D84" s="25" t="s">
        <v>97</v>
      </c>
      <c r="E84" s="25" t="s">
        <v>121</v>
      </c>
      <c r="F84" s="25" t="s">
        <v>106</v>
      </c>
      <c r="G84" s="25" t="s">
        <v>160</v>
      </c>
      <c r="H84" s="25" t="s">
        <v>145</v>
      </c>
      <c r="I84" s="25">
        <v>34000</v>
      </c>
      <c r="R84" s="25">
        <v>34000</v>
      </c>
      <c r="AH84" s="9"/>
      <c r="AI84" s="9"/>
      <c r="AJ84" s="9"/>
      <c r="AK84" s="9"/>
      <c r="AL84" s="9"/>
      <c r="AM84" s="9"/>
    </row>
    <row r="85" spans="1:39" x14ac:dyDescent="0.25">
      <c r="A85" s="25" t="s">
        <v>106</v>
      </c>
      <c r="B85" s="25" t="s">
        <v>96</v>
      </c>
      <c r="C85" s="25" t="s">
        <v>159</v>
      </c>
      <c r="D85" s="25" t="s">
        <v>97</v>
      </c>
      <c r="E85" s="25" t="s">
        <v>121</v>
      </c>
      <c r="F85" s="25" t="s">
        <v>106</v>
      </c>
      <c r="G85" s="25" t="s">
        <v>161</v>
      </c>
      <c r="H85" s="25" t="s">
        <v>145</v>
      </c>
      <c r="I85" s="25">
        <v>274788.05</v>
      </c>
      <c r="M85" s="25">
        <v>274788.05</v>
      </c>
      <c r="AH85" s="9"/>
      <c r="AI85" s="9"/>
      <c r="AJ85" s="9"/>
      <c r="AK85" s="9"/>
      <c r="AL85" s="9"/>
      <c r="AM85" s="9"/>
    </row>
    <row r="86" spans="1:39" x14ac:dyDescent="0.25">
      <c r="A86" s="25" t="s">
        <v>106</v>
      </c>
      <c r="B86" s="25" t="s">
        <v>96</v>
      </c>
      <c r="C86" s="25" t="s">
        <v>162</v>
      </c>
      <c r="D86" s="25" t="s">
        <v>97</v>
      </c>
      <c r="E86" s="25" t="s">
        <v>121</v>
      </c>
      <c r="F86" s="25" t="s">
        <v>106</v>
      </c>
      <c r="G86" s="25" t="s">
        <v>163</v>
      </c>
      <c r="H86" s="25" t="s">
        <v>145</v>
      </c>
      <c r="I86" s="25">
        <v>570835.57999999996</v>
      </c>
      <c r="R86" s="25">
        <v>570835.57999999996</v>
      </c>
      <c r="AH86" s="9"/>
      <c r="AI86" s="9"/>
      <c r="AJ86" s="9"/>
      <c r="AK86" s="9"/>
      <c r="AL86" s="9"/>
      <c r="AM86" s="9"/>
    </row>
    <row r="87" spans="1:39" x14ac:dyDescent="0.25">
      <c r="A87" s="25" t="s">
        <v>106</v>
      </c>
      <c r="B87" s="25" t="s">
        <v>112</v>
      </c>
      <c r="C87" s="25" t="s">
        <v>170</v>
      </c>
      <c r="D87" s="25" t="s">
        <v>121</v>
      </c>
      <c r="E87" s="25" t="s">
        <v>97</v>
      </c>
      <c r="F87" s="25" t="s">
        <v>104</v>
      </c>
      <c r="G87" s="25" t="s">
        <v>171</v>
      </c>
      <c r="H87" s="25" t="s">
        <v>152</v>
      </c>
      <c r="I87" s="25">
        <v>-633000</v>
      </c>
      <c r="R87" s="25">
        <v>-633000</v>
      </c>
      <c r="AH87" s="9"/>
      <c r="AI87" s="9"/>
      <c r="AJ87" s="9"/>
      <c r="AK87" s="9"/>
      <c r="AL87" s="9"/>
      <c r="AM87" s="9"/>
    </row>
    <row r="88" spans="1:39" x14ac:dyDescent="0.25">
      <c r="A88" s="25" t="s">
        <v>99</v>
      </c>
      <c r="B88" s="25" t="s">
        <v>132</v>
      </c>
      <c r="C88" s="25" t="s">
        <v>230</v>
      </c>
      <c r="D88" s="25" t="s">
        <v>231</v>
      </c>
      <c r="E88" s="25" t="s">
        <v>121</v>
      </c>
      <c r="F88" s="25" t="s">
        <v>232</v>
      </c>
      <c r="G88" s="25" t="s">
        <v>233</v>
      </c>
      <c r="H88" s="25" t="s">
        <v>234</v>
      </c>
      <c r="I88" s="25">
        <v>10000</v>
      </c>
      <c r="Q88" s="25">
        <v>10000</v>
      </c>
      <c r="AH88" s="9"/>
      <c r="AI88" s="9"/>
      <c r="AJ88" s="9"/>
      <c r="AK88" s="9"/>
      <c r="AL88" s="9"/>
      <c r="AM88" s="9"/>
    </row>
    <row r="89" spans="1:39" x14ac:dyDescent="0.25">
      <c r="A89" s="165" t="s">
        <v>99</v>
      </c>
      <c r="B89" s="165" t="s">
        <v>137</v>
      </c>
      <c r="C89" s="165" t="s">
        <v>153</v>
      </c>
      <c r="D89" s="165" t="s">
        <v>121</v>
      </c>
      <c r="E89" s="165" t="s">
        <v>134</v>
      </c>
      <c r="F89" s="165" t="s">
        <v>99</v>
      </c>
      <c r="G89" s="165" t="s">
        <v>154</v>
      </c>
      <c r="H89" s="165" t="s">
        <v>155</v>
      </c>
      <c r="I89" s="165">
        <v>-650000</v>
      </c>
      <c r="J89" s="165"/>
      <c r="K89" s="165"/>
      <c r="L89" s="165"/>
      <c r="M89" s="165"/>
      <c r="N89" s="165"/>
      <c r="O89" s="165"/>
      <c r="P89" s="165">
        <v>-158600</v>
      </c>
      <c r="Q89" s="165">
        <v>-491400</v>
      </c>
      <c r="R89" s="165"/>
      <c r="S89" s="165"/>
      <c r="T89" s="165"/>
      <c r="U89" s="165"/>
      <c r="V89" s="165"/>
      <c r="W89" s="165"/>
    </row>
    <row r="90" spans="1:39" x14ac:dyDescent="0.25">
      <c r="A90" s="165" t="s">
        <v>232</v>
      </c>
      <c r="B90" s="165" t="s">
        <v>137</v>
      </c>
      <c r="C90" s="165" t="s">
        <v>230</v>
      </c>
      <c r="D90" s="165" t="s">
        <v>121</v>
      </c>
      <c r="E90" s="165" t="s">
        <v>231</v>
      </c>
      <c r="F90" s="165" t="s">
        <v>232</v>
      </c>
      <c r="G90" s="165" t="s">
        <v>233</v>
      </c>
      <c r="H90" s="165" t="s">
        <v>234</v>
      </c>
      <c r="I90" s="165">
        <v>-10000</v>
      </c>
      <c r="J90" s="165"/>
      <c r="K90" s="165"/>
      <c r="L90" s="165"/>
      <c r="M90" s="165"/>
      <c r="N90" s="165"/>
      <c r="O90" s="165"/>
      <c r="P90" s="165"/>
      <c r="Q90" s="165">
        <v>-10000</v>
      </c>
      <c r="R90" s="165"/>
      <c r="S90" s="165"/>
      <c r="T90" s="165"/>
      <c r="U90" s="165"/>
      <c r="V90" s="165"/>
      <c r="W90" s="165"/>
    </row>
  </sheetData>
  <mergeCells count="5">
    <mergeCell ref="A1:F1"/>
    <mergeCell ref="A3:F3"/>
    <mergeCell ref="A9:G9"/>
    <mergeCell ref="A50:G50"/>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86" t="s">
        <v>14</v>
      </c>
      <c r="C1" s="186"/>
      <c r="D1" s="186"/>
      <c r="E1" s="186"/>
    </row>
    <row r="2" spans="1:5" ht="81.75" customHeight="1" x14ac:dyDescent="0.35">
      <c r="A2" s="1">
        <v>1</v>
      </c>
      <c r="B2" s="185" t="s">
        <v>16</v>
      </c>
      <c r="C2" s="185"/>
      <c r="D2" s="185"/>
      <c r="E2" s="185"/>
    </row>
    <row r="3" spans="1:5" ht="14.45" x14ac:dyDescent="0.35">
      <c r="B3" s="3"/>
      <c r="C3" s="3"/>
      <c r="D3" s="3"/>
      <c r="E3" s="3"/>
    </row>
    <row r="4" spans="1:5" ht="33" customHeight="1" x14ac:dyDescent="0.35">
      <c r="A4" s="1">
        <v>2</v>
      </c>
      <c r="B4" s="185" t="s">
        <v>17</v>
      </c>
      <c r="C4" s="185"/>
      <c r="D4" s="185"/>
      <c r="E4" s="185"/>
    </row>
    <row r="5" spans="1:5" ht="14.45" x14ac:dyDescent="0.35">
      <c r="B5" s="3"/>
      <c r="C5" s="3"/>
      <c r="D5" s="3"/>
      <c r="E5" s="3"/>
    </row>
    <row r="6" spans="1:5" s="17" customFormat="1" ht="114" customHeight="1" x14ac:dyDescent="0.25">
      <c r="A6" s="18">
        <v>3</v>
      </c>
      <c r="B6" s="190" t="s">
        <v>193</v>
      </c>
      <c r="C6" s="190"/>
      <c r="D6" s="190"/>
      <c r="E6" s="190"/>
    </row>
    <row r="7" spans="1:5" s="17" customFormat="1" ht="14.45" x14ac:dyDescent="0.35">
      <c r="A7" s="18"/>
      <c r="B7" s="19"/>
      <c r="C7" s="19"/>
      <c r="D7" s="19"/>
      <c r="E7" s="19"/>
    </row>
    <row r="8" spans="1:5" ht="18" customHeight="1" x14ac:dyDescent="0.3">
      <c r="A8" s="1">
        <v>4</v>
      </c>
      <c r="B8" s="189" t="s">
        <v>58</v>
      </c>
      <c r="C8" s="189"/>
      <c r="D8" s="8"/>
      <c r="E8" s="8"/>
    </row>
    <row r="9" spans="1:5" ht="18" customHeight="1" x14ac:dyDescent="0.3">
      <c r="B9" s="188" t="s">
        <v>189</v>
      </c>
      <c r="C9" s="188"/>
      <c r="D9" s="13">
        <v>125000</v>
      </c>
    </row>
    <row r="10" spans="1:5" ht="18" customHeight="1" x14ac:dyDescent="0.3">
      <c r="B10" s="185" t="s">
        <v>190</v>
      </c>
      <c r="C10" s="185"/>
      <c r="D10" s="12">
        <v>-31250</v>
      </c>
    </row>
    <row r="11" spans="1:5" ht="18" customHeight="1" x14ac:dyDescent="0.25">
      <c r="B11" s="188" t="s">
        <v>191</v>
      </c>
      <c r="C11" s="188"/>
      <c r="D11" s="14">
        <f>+D9+D10</f>
        <v>93750</v>
      </c>
    </row>
    <row r="12" spans="1:5" ht="31.5" customHeight="1" x14ac:dyDescent="0.25">
      <c r="B12" s="185" t="s">
        <v>188</v>
      </c>
      <c r="C12" s="185"/>
      <c r="D12" s="11">
        <v>31250</v>
      </c>
    </row>
    <row r="13" spans="1:5" ht="36.75" customHeight="1" x14ac:dyDescent="0.25">
      <c r="B13" s="188" t="s">
        <v>192</v>
      </c>
      <c r="C13" s="188"/>
      <c r="D13" s="15">
        <f>SUM(D11:D12)</f>
        <v>125000</v>
      </c>
    </row>
    <row r="14" spans="1:5" s="17" customFormat="1" ht="18" customHeight="1" x14ac:dyDescent="0.25">
      <c r="A14" s="18"/>
      <c r="B14" s="22"/>
      <c r="C14" s="22"/>
      <c r="D14" s="23"/>
    </row>
    <row r="15" spans="1:5" s="17" customFormat="1" ht="84.75" customHeight="1" x14ac:dyDescent="0.25">
      <c r="A15" s="1">
        <v>5</v>
      </c>
      <c r="B15" s="187" t="s">
        <v>59</v>
      </c>
      <c r="C15" s="187"/>
      <c r="D15" s="187"/>
      <c r="E15" s="187"/>
    </row>
    <row r="16" spans="1:5" x14ac:dyDescent="0.25">
      <c r="B16" s="3"/>
      <c r="C16" s="3"/>
      <c r="D16" s="3"/>
      <c r="E16" s="3"/>
    </row>
    <row r="17" spans="1:5" ht="14.45" customHeight="1" x14ac:dyDescent="0.25">
      <c r="A17" s="1">
        <v>6</v>
      </c>
      <c r="B17" s="185" t="s">
        <v>195</v>
      </c>
      <c r="C17" s="185"/>
      <c r="D17" s="185"/>
      <c r="E17" s="185"/>
    </row>
    <row r="18" spans="1:5" x14ac:dyDescent="0.25">
      <c r="B18" s="10"/>
      <c r="C18" s="10"/>
      <c r="D18" s="10"/>
      <c r="E18" s="10"/>
    </row>
    <row r="19" spans="1:5" ht="33" customHeight="1" x14ac:dyDescent="0.25">
      <c r="A19" s="1">
        <v>7</v>
      </c>
      <c r="B19" s="185" t="s">
        <v>37</v>
      </c>
      <c r="C19" s="185"/>
      <c r="D19" s="185"/>
      <c r="E19" s="185"/>
    </row>
    <row r="20" spans="1:5" ht="14.25" customHeight="1" x14ac:dyDescent="0.25">
      <c r="B20" s="7"/>
      <c r="C20" s="7"/>
      <c r="D20" s="7"/>
      <c r="E20" s="7"/>
    </row>
    <row r="21" spans="1:5" ht="47.25" customHeight="1" x14ac:dyDescent="0.25">
      <c r="A21" s="1">
        <v>8</v>
      </c>
      <c r="B21" s="185" t="s">
        <v>38</v>
      </c>
      <c r="C21" s="185"/>
      <c r="D21" s="185"/>
      <c r="E21" s="185"/>
    </row>
    <row r="22" spans="1:5" ht="15" customHeight="1" x14ac:dyDescent="0.25">
      <c r="B22" s="7"/>
      <c r="C22" s="7"/>
      <c r="D22" s="7"/>
      <c r="E22" s="7"/>
    </row>
    <row r="23" spans="1:5" ht="32.25" customHeight="1" x14ac:dyDescent="0.25">
      <c r="A23" s="1">
        <v>9</v>
      </c>
      <c r="B23" s="185" t="s">
        <v>36</v>
      </c>
      <c r="C23" s="185"/>
      <c r="D23" s="185"/>
      <c r="E23" s="185"/>
    </row>
    <row r="24" spans="1:5" ht="15" customHeight="1" x14ac:dyDescent="0.25">
      <c r="B24" s="7"/>
      <c r="C24" s="7"/>
      <c r="D24" s="7"/>
      <c r="E24" s="7"/>
    </row>
    <row r="25" spans="1:5" ht="33" customHeight="1" x14ac:dyDescent="0.25">
      <c r="A25" s="1">
        <v>10</v>
      </c>
      <c r="B25" s="185" t="s">
        <v>39</v>
      </c>
      <c r="C25" s="185"/>
      <c r="D25" s="185"/>
      <c r="E25" s="185"/>
    </row>
    <row r="26" spans="1:5" x14ac:dyDescent="0.25">
      <c r="B26" s="3"/>
      <c r="C26" s="3"/>
      <c r="D26" s="3"/>
      <c r="E26" s="3"/>
    </row>
    <row r="27" spans="1:5" ht="30" customHeight="1" x14ac:dyDescent="0.25">
      <c r="A27" s="1">
        <v>11</v>
      </c>
      <c r="B27" s="185" t="s">
        <v>40</v>
      </c>
      <c r="C27" s="185"/>
      <c r="D27" s="185"/>
      <c r="E27" s="185"/>
    </row>
    <row r="28" spans="1:5" x14ac:dyDescent="0.25">
      <c r="B28" s="3"/>
      <c r="C28" s="3"/>
      <c r="D28" s="3"/>
      <c r="E28" s="3"/>
    </row>
    <row r="29" spans="1:5" ht="31.5" customHeight="1" x14ac:dyDescent="0.25">
      <c r="A29" s="1">
        <v>12</v>
      </c>
      <c r="B29" s="185" t="s">
        <v>41</v>
      </c>
      <c r="C29" s="185"/>
      <c r="D29" s="185"/>
      <c r="E29" s="185"/>
    </row>
    <row r="30" spans="1:5" x14ac:dyDescent="0.25">
      <c r="B30" s="7"/>
      <c r="C30" s="7"/>
      <c r="D30" s="7"/>
      <c r="E30" s="7"/>
    </row>
    <row r="31" spans="1:5" ht="34.5" customHeight="1" x14ac:dyDescent="0.25">
      <c r="A31" s="1">
        <v>13</v>
      </c>
      <c r="B31" s="185" t="s">
        <v>18</v>
      </c>
      <c r="C31" s="185"/>
      <c r="D31" s="185"/>
      <c r="E31" s="185"/>
    </row>
    <row r="32" spans="1:5" ht="16.5" customHeight="1" x14ac:dyDescent="0.25">
      <c r="B32" s="3"/>
      <c r="C32" s="3"/>
      <c r="D32" s="3"/>
      <c r="E32" s="3"/>
    </row>
    <row r="33" spans="1:5" ht="64.5" customHeight="1" x14ac:dyDescent="0.25">
      <c r="A33" s="1">
        <v>14</v>
      </c>
      <c r="B33" s="185" t="s">
        <v>19</v>
      </c>
      <c r="C33" s="185"/>
      <c r="D33" s="185"/>
      <c r="E33" s="185"/>
    </row>
    <row r="34" spans="1:5" ht="14.25" customHeight="1" x14ac:dyDescent="0.25">
      <c r="B34" s="3"/>
      <c r="C34" s="3"/>
      <c r="D34" s="3"/>
      <c r="E34" s="3"/>
    </row>
    <row r="35" spans="1:5" x14ac:dyDescent="0.25">
      <c r="A35" s="1">
        <v>15</v>
      </c>
      <c r="B35" s="189" t="s">
        <v>33</v>
      </c>
      <c r="C35" s="189"/>
      <c r="D35" s="189"/>
      <c r="E35" s="189"/>
    </row>
    <row r="36" spans="1:5" x14ac:dyDescent="0.25">
      <c r="B36" s="16" t="s">
        <v>7</v>
      </c>
      <c r="C36" s="183" t="s">
        <v>20</v>
      </c>
      <c r="D36" s="183"/>
      <c r="E36" s="183"/>
    </row>
    <row r="37" spans="1:5" x14ac:dyDescent="0.25">
      <c r="B37" s="5" t="s">
        <v>21</v>
      </c>
      <c r="C37" s="184" t="s">
        <v>28</v>
      </c>
      <c r="D37" s="184"/>
      <c r="E37" s="184"/>
    </row>
    <row r="38" spans="1:5" x14ac:dyDescent="0.25">
      <c r="B38" s="16" t="s">
        <v>22</v>
      </c>
      <c r="C38" s="183" t="s">
        <v>29</v>
      </c>
      <c r="D38" s="183"/>
      <c r="E38" s="183"/>
    </row>
    <row r="39" spans="1:5" x14ac:dyDescent="0.25">
      <c r="B39" s="5" t="s">
        <v>23</v>
      </c>
      <c r="C39" s="184" t="s">
        <v>32</v>
      </c>
      <c r="D39" s="184"/>
      <c r="E39" s="184"/>
    </row>
    <row r="40" spans="1:5" x14ac:dyDescent="0.25">
      <c r="B40" s="16" t="s">
        <v>9</v>
      </c>
      <c r="C40" s="183" t="s">
        <v>30</v>
      </c>
      <c r="D40" s="183"/>
      <c r="E40" s="183"/>
    </row>
    <row r="41" spans="1:5" x14ac:dyDescent="0.25">
      <c r="B41" s="5" t="s">
        <v>8</v>
      </c>
      <c r="C41" s="184" t="s">
        <v>24</v>
      </c>
      <c r="D41" s="184"/>
      <c r="E41" s="184"/>
    </row>
    <row r="42" spans="1:5" x14ac:dyDescent="0.25">
      <c r="B42" s="16" t="s">
        <v>25</v>
      </c>
      <c r="C42" s="183" t="s">
        <v>26</v>
      </c>
      <c r="D42" s="183"/>
      <c r="E42" s="183"/>
    </row>
    <row r="43" spans="1:5" x14ac:dyDescent="0.25">
      <c r="B43" s="5" t="s">
        <v>27</v>
      </c>
      <c r="C43" s="184" t="s">
        <v>31</v>
      </c>
      <c r="D43" s="184"/>
      <c r="E43" s="184"/>
    </row>
    <row r="44" spans="1:5" s="17" customFormat="1" x14ac:dyDescent="0.25">
      <c r="A44" s="18"/>
      <c r="B44" s="20"/>
      <c r="C44" s="21"/>
      <c r="D44" s="21"/>
      <c r="E44" s="21"/>
    </row>
    <row r="45" spans="1:5" s="17" customFormat="1" x14ac:dyDescent="0.25">
      <c r="A45" s="18">
        <v>16</v>
      </c>
      <c r="B45" s="24" t="s">
        <v>65</v>
      </c>
      <c r="C45" s="21"/>
      <c r="D45" s="21"/>
      <c r="E45" s="21"/>
    </row>
    <row r="46" spans="1:5" s="17" customFormat="1" ht="30" customHeight="1" x14ac:dyDescent="0.25">
      <c r="A46" s="18"/>
      <c r="B46" s="16" t="s">
        <v>50</v>
      </c>
      <c r="C46" s="183" t="s">
        <v>67</v>
      </c>
      <c r="D46" s="183"/>
      <c r="E46" s="183"/>
    </row>
    <row r="47" spans="1:5" s="17" customFormat="1" x14ac:dyDescent="0.25">
      <c r="A47" s="18"/>
      <c r="B47" s="20" t="s">
        <v>51</v>
      </c>
      <c r="C47" s="184" t="s">
        <v>66</v>
      </c>
      <c r="D47" s="184"/>
      <c r="E47" s="184"/>
    </row>
    <row r="48" spans="1:5" s="17" customFormat="1" ht="48.75" customHeight="1" x14ac:dyDescent="0.25">
      <c r="A48" s="18"/>
      <c r="B48" s="16" t="s">
        <v>52</v>
      </c>
      <c r="C48" s="183" t="s">
        <v>69</v>
      </c>
      <c r="D48" s="183"/>
      <c r="E48" s="183"/>
    </row>
    <row r="49" spans="1:5" s="17" customFormat="1" ht="29.25" customHeight="1" x14ac:dyDescent="0.25">
      <c r="A49" s="18"/>
      <c r="B49" s="20" t="s">
        <v>53</v>
      </c>
      <c r="C49" s="184" t="s">
        <v>68</v>
      </c>
      <c r="D49" s="184"/>
      <c r="E49" s="184"/>
    </row>
    <row r="50" spans="1:5" x14ac:dyDescent="0.25">
      <c r="B50" s="5"/>
      <c r="C50" s="6"/>
      <c r="D50" s="6"/>
      <c r="E50" s="6"/>
    </row>
    <row r="51" spans="1:5" ht="94.5" customHeight="1" x14ac:dyDescent="0.25">
      <c r="A51" s="1">
        <v>17</v>
      </c>
      <c r="B51" s="192" t="s">
        <v>194</v>
      </c>
      <c r="C51" s="192"/>
      <c r="D51" s="192"/>
      <c r="E51" s="192"/>
    </row>
    <row r="53" spans="1:5" x14ac:dyDescent="0.25">
      <c r="B53" s="2"/>
    </row>
    <row r="54" spans="1:5" x14ac:dyDescent="0.25">
      <c r="A54" s="191" t="s">
        <v>34</v>
      </c>
      <c r="B54" s="191"/>
      <c r="C54" s="191"/>
      <c r="D54" s="191"/>
      <c r="E54" s="191"/>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2019-04-30T16:03:30Z</dcterms:modified>
</cp:coreProperties>
</file>