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Transactions'!$A$15:$T$22</definedName>
    <definedName name="Query_from_MS_Access_Database" localSheetId="1" hidden="1">'Regional Loans and Transfers'!$A$11:$W$49</definedName>
    <definedName name="Query_from_MS_Access_Database_1" localSheetId="0" hidden="1">'Federal Funds Transactions'!$A$27:$T$31</definedName>
    <definedName name="Query_from_MS_Access_Database_1" localSheetId="1" hidden="1">'Regional Loans and Transfers'!$A$52:$W$90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U16" i="1"/>
  <c r="U17" i="1"/>
  <c r="U18" i="1"/>
  <c r="V18" i="1" s="1"/>
  <c r="V19" i="1" s="1"/>
  <c r="V20" i="1" s="1"/>
  <c r="V21" i="1" s="1"/>
  <c r="V22" i="1" s="1"/>
  <c r="U19" i="1"/>
  <c r="U20" i="1"/>
  <c r="U21" i="1"/>
  <c r="U22" i="1"/>
  <c r="I28" i="1"/>
  <c r="I29" i="1"/>
  <c r="I30" i="1"/>
  <c r="I31" i="1"/>
  <c r="U28" i="1"/>
  <c r="U29" i="1"/>
  <c r="U30" i="1"/>
  <c r="U31" i="1"/>
  <c r="V28" i="1" l="1"/>
  <c r="V29" i="1" s="1"/>
  <c r="V30" i="1"/>
  <c r="V31" i="1" s="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2" i="1" l="1"/>
  <c r="N23" i="1"/>
  <c r="N34" i="1" l="1"/>
  <c r="T39" i="1"/>
  <c r="O32" i="1"/>
  <c r="P32" i="1"/>
  <c r="Q32" i="1"/>
  <c r="R32" i="1"/>
  <c r="S32" i="1"/>
  <c r="T32" i="1"/>
  <c r="O23" i="1"/>
  <c r="P23" i="1"/>
  <c r="Q23" i="1"/>
  <c r="R23" i="1"/>
  <c r="S23" i="1"/>
  <c r="T23" i="1"/>
  <c r="Q34" i="1" l="1"/>
  <c r="T34" i="1"/>
  <c r="P34" i="1"/>
  <c r="S34" i="1"/>
  <c r="O34" i="1"/>
  <c r="R34" i="1"/>
  <c r="U32" i="1"/>
  <c r="U23" i="1"/>
  <c r="U34" i="1" l="1"/>
  <c r="N12" i="1"/>
  <c r="U39" i="1" l="1"/>
  <c r="S39" i="1"/>
  <c r="R39" i="1"/>
  <c r="Q39" i="1"/>
  <c r="P39" i="1"/>
  <c r="N39" i="1"/>
  <c r="N24" i="1" l="1"/>
  <c r="S12" i="1" l="1"/>
  <c r="S24" i="1" s="1"/>
  <c r="S33" i="1" s="1"/>
  <c r="R12" i="1"/>
  <c r="R24" i="1" s="1"/>
  <c r="R33" i="1" s="1"/>
  <c r="V39" i="1" l="1"/>
  <c r="O39" i="1"/>
  <c r="U5" i="1" l="1"/>
  <c r="V5" i="1" s="1"/>
  <c r="D11" i="2" l="1"/>
  <c r="D13" i="2" s="1"/>
  <c r="B5" i="3" l="1"/>
  <c r="U4" i="1" l="1"/>
  <c r="R38" i="1" l="1"/>
  <c r="R41" i="1" l="1"/>
  <c r="R40" i="1"/>
  <c r="P12" i="1"/>
  <c r="P24" i="1" l="1"/>
  <c r="P33" i="1" s="1"/>
  <c r="A7" i="3"/>
  <c r="U7" i="1" l="1"/>
  <c r="U8" i="1"/>
  <c r="U9" i="1"/>
  <c r="U10" i="1"/>
  <c r="U11" i="1"/>
  <c r="Q12" i="1" l="1"/>
  <c r="P38" i="1" l="1"/>
  <c r="P41" i="1" s="1"/>
  <c r="Q24" i="1"/>
  <c r="U6" i="1"/>
  <c r="Q33" i="1" l="1"/>
  <c r="Q38" i="1" s="1"/>
  <c r="Q41" i="1" s="1"/>
  <c r="P40" i="1"/>
  <c r="A1" i="3"/>
  <c r="Q40" i="1" l="1"/>
  <c r="O12" i="1"/>
  <c r="O24" i="1" s="1"/>
  <c r="O33" i="1" l="1"/>
  <c r="O38" i="1" s="1"/>
  <c r="O41" i="1" s="1"/>
  <c r="N33" i="1"/>
  <c r="N38" i="1" s="1"/>
  <c r="T12" i="1"/>
  <c r="O40" i="1" l="1"/>
  <c r="S38" i="1"/>
  <c r="S41" i="1" s="1"/>
  <c r="T24" i="1"/>
  <c r="T33" i="1" s="1"/>
  <c r="T38" i="1" s="1"/>
  <c r="N41" i="1"/>
  <c r="N40" i="1"/>
  <c r="U12" i="1"/>
  <c r="V12" i="1"/>
  <c r="V16" i="1" s="1"/>
  <c r="V17" i="1" s="1"/>
  <c r="T40" i="1" l="1"/>
  <c r="T41" i="1"/>
  <c r="U38" i="1"/>
  <c r="U40" i="1" s="1"/>
  <c r="U24" i="1"/>
  <c r="U33" i="1" s="1"/>
  <c r="S40" i="1"/>
  <c r="V38" i="1" l="1"/>
  <c r="V40"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<sst xmlns="http://schemas.openxmlformats.org/spreadsheetml/2006/main" count="858" uniqueCount="234">
  <si>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</si>
  <si>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</si>
  <si>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</si>
  <si>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</si>
  <si>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</si>
  <si>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</si>
  <si>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</si>
  <si>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</si>
  <si>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</si>
  <si>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</si>
  <si>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</si>
  <si>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</si>
  <si>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</si>
  <si>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</si>
  <si>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</si>
  <si>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</si>
  <si>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</si>
  <si>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</si>
  <si>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</si>
  <si>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</si>
  <si>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</si>
  <si>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</si>
  <si>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</si>
  <si>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</si>
  <si>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</si>
  <si>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</si>
  <si>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</si>
  <si>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</si>
  <si>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</si>
  <si>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</si>
  <si>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</si>
  <si>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</si>
  <si>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</si>
  <si>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</si>
  <si>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</si>
  <si>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</si>
  <si>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</si>
  <si>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</si>
  <si>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</si>
  <si>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</si>
  <si>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</si>
  <si>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</si>
  <si>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</si>
  <si>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</si>
  <si>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</si>
  <si>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</si>
  <si>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</si>
  <si>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</si>
  <si>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</si>
  <si>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</si>
  <si>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</si>
  <si>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</si>
  <si>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</si>
  <si>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</si>
  <si>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</si>
  <si>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</si>
  <si>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</si>
  <si>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</si>
  <si>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</si>
  <si>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</si>
  <si>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</si>
  <si>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</si>
  <si>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</si>
  <si>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</si>
  <si>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</si>
  <si>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</si>
  <si>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</si>
  <si>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</si>
  <si>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</si>
  <si>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</si>
  <si>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</si>
  <si>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</si>
  <si>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</si>
  <si>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</si>
  <si>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</si>
  <si>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</si>
  <si>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</si>
  <si>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</si>
  <si>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</si>
  <si>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</si>
  <si>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</si>
  <si>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</si>
  <si>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</si>
  <si>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</si>
  <si>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</si>
  <si>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</si>
  <si>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</si>
  <si>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</si>
  <si>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</si>
  <si>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</si>
  <si>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</si>
  <si>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</si>
  <si>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</si>
  <si>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</si>
  <si>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</si>
  <si>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</si>
  <si>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</si>
  <si>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</si>
  <si>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</si>
  <si>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</si>
  <si>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</si>
  <si>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</si>
  <si>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</si>
  <si>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</si>
  <si>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</si>
  <si>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</si>
  <si>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</si>
  <si>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</si>
  <si>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</si>
  <si>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</si>
  <si>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</si>
  <si>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</si>
  <si>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</si>
  <si>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</si>
  <si>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</si>
  <si>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</si>
  <si>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</si>
  <si>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</si>
  <si>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</si>
  <si>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</si>
  <si>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</si>
  <si>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</si>
  <si>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</si>
  <si>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</si>
  <si>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</si>
  <si>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</si>
  <si>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</si>
  <si>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</si>
  <si>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</si>
  <si>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</si>
  <si>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</si>
  <si>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</si>
  <si>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</si>
  <si>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</si>
  <si>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</si>
  <si>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</si>
  <si>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</si>
  <si>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</si>
  <si>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</si>
  <si>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</si>
  <si>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</si>
  <si>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</si>
  <si>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</si>
  <si>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</si>
  <si>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</si>
  <si>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</si>
  <si>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</si>
  <si>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</si>
  <si>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</si>
  <si>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</si>
  <si>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</si>
  <si>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</si>
  <si>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</si>
  <si>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</si>
  <si>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</si>
  <si>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</si>
  <si>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</si>
  <si>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</si>
  <si>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</si>
  <si>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</si>
  <si>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</si>
  <si>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</si>
  <si>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</si>
  <si>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</si>
  <si>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</si>
  <si>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</si>
  <si>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</si>
  <si>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</si>
  <si>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</si>
  <si>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</si>
  <si>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</si>
  <si>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</si>
  <si>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</si>
  <si>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</si>
  <si>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</si>
  <si>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</si>
  <si>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</si>
  <si>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</si>
  <si>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</si>
  <si>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</si>
  <si>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</si>
  <si>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</si>
  <si>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</si>
  <si>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</si>
  <si>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</si>
  <si>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</si>
  <si>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</si>
  <si>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</si>
  <si>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</si>
  <si>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</si>
  <si>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</si>
  <si>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</si>
  <si>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</si>
  <si>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</si>
  <si>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</si>
  <si>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</si>
  <si>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</si>
  <si>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</si>
  <si>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</si>
  <si>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</si>
  <si>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</si>
  <si>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</si>
  <si>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CYMPO 2020 WP - SPR</t>
  </si>
  <si>
    <t>020</t>
  </si>
  <si>
    <t>PCY2002P</t>
  </si>
  <si>
    <t>CYMPO 2020 WP - PL</t>
  </si>
  <si>
    <t>CY-MPO-19-06</t>
  </si>
  <si>
    <t>REGIONAL DISTRACTED DRIVING CAMPAIGN</t>
  </si>
  <si>
    <t>0</t>
  </si>
  <si>
    <t>TBD</t>
  </si>
  <si>
    <t>T022001C</t>
  </si>
  <si>
    <t>CY-MPO-19-08</t>
  </si>
  <si>
    <t>PRESCOTT</t>
  </si>
  <si>
    <t>SR 89 Willow Lake to Phippen Trail Pavement Pres</t>
  </si>
  <si>
    <t>089</t>
  </si>
  <si>
    <t>HFX</t>
  </si>
  <si>
    <t>PCY1802P</t>
  </si>
  <si>
    <t>CYMPO 2018 WP - PL</t>
  </si>
  <si>
    <t>018</t>
  </si>
  <si>
    <t>PCY1801P</t>
  </si>
  <si>
    <t>N/A</t>
  </si>
  <si>
    <t>CYMPO 2018 WP - SPR</t>
  </si>
  <si>
    <t>PCY1701P</t>
  </si>
  <si>
    <t>CYMPO 2017 WP - SPR</t>
  </si>
  <si>
    <t>017</t>
  </si>
  <si>
    <t>SH60001C</t>
  </si>
  <si>
    <t>CY-MPO-16-01/CY-YYV-12-05</t>
  </si>
  <si>
    <t>CENTRAL YAVAPAI COUNTY, VARIOUS LOCATIONS</t>
  </si>
  <si>
    <t>203</t>
  </si>
  <si>
    <t>SVMPOCYMPO-19L1</t>
  </si>
  <si>
    <t>SVMPO</t>
  </si>
  <si>
    <t>2020</t>
  </si>
  <si>
    <t>DDPE</t>
  </si>
  <si>
    <t>SVMPO STBGP Loan to CYMPO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</si>
</sst>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8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left"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2" tableType="queryTable" totalsRowShown="0" headerRowDxfId="101" dataDxfId="100" tableBorderDxfId="99">
  <autoFilter ref="A15:V22"/>
  <tableColumns count="22">
    <tableColumn id="1" uniqueName="1" name="ADOT#" queryTableFieldId="1" dataDxfId="68"/>
    <tableColumn id="2" uniqueName="2" name="TIP#" queryTableFieldId="2" dataDxfId="67"/>
    <tableColumn id="3" uniqueName="3" name="Sponsor" queryTableFieldId="3" dataDxfId="66"/>
    <tableColumn id="4" uniqueName="4" name="Action/15" queryTableFieldId="4" dataDxfId="65"/>
    <tableColumn id="5" uniqueName="5" name="Location" queryTableFieldId="5" dataDxfId="64"/>
    <tableColumn id="6" uniqueName="6" name="RTE" queryTableFieldId="6" dataDxfId="63"/>
    <tableColumn id="7" uniqueName="7" name="SEC" queryTableFieldId="7" dataDxfId="62"/>
    <tableColumn id="8" uniqueName="8" name="SEQ" queryTableFieldId="8" dataDxfId="61"/>
    <tableColumn id="22" uniqueName="22" name="Fed #" queryTableFieldId="22" dataDxfId="60">
      <calculatedColumnFormula>CONCATENATE(Table_Query_from_MS_Access_Database8[RTE],Table_Query_from_MS_Access_Database8[SEC],Table_Query_from_MS_Access_Database8[SEQ])</calculatedColumnFormula>
    </tableColumn>
    <tableColumn id="9" uniqueName="9" name="PB Expected" queryTableFieldId="9" dataDxfId="59"/>
    <tableColumn id="10" uniqueName="10" name="PB Received" queryTableFieldId="10" dataDxfId="58"/>
    <tableColumn id="11" uniqueName="11" name="PF Transmitted" queryTableFieldId="11" dataDxfId="57"/>
    <tableColumn id="12" uniqueName="12" name="Finance Authorization" queryTableFieldId="12" dataDxfId="56"/>
    <tableColumn id="13" uniqueName="13" name="HURF EX" queryTableFieldId="13" dataDxfId="55"/>
    <tableColumn id="14" uniqueName="14" name="HSIP" queryTableFieldId="14" dataDxfId="54"/>
    <tableColumn id="15" uniqueName="15" name="PL" queryTableFieldId="15" dataDxfId="53"/>
    <tableColumn id="16" uniqueName="16" name="SPR" queryTableFieldId="16" dataDxfId="52"/>
    <tableColumn id="17" uniqueName="17" name="STP &lt;5" queryTableFieldId="17" dataDxfId="51"/>
    <tableColumn id="18" uniqueName="18" name="STP 5-200" queryTableFieldId="18" dataDxfId="50"/>
    <tableColumn id="19" uniqueName="19" name="STP other" queryTableFieldId="19" dataDxfId="49"/>
    <tableColumn id="20" uniqueName="20" name="TOTAL OF AMOUNT" queryTableFieldId="21" dataDxfId="48">
      <calculatedColumnFormula>SUM(Table_Query_from_MS_Access_Database8[[#This Row],[HURF EX]:[STP other]])</calculatedColumnFormula>
    </tableColumn>
    <tableColumn id="21" uniqueName="21" name="DECLINING BALANCE OA" queryTableFieldId="20" dataDxfId="47"/>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V31" tableType="queryTable" totalsRowShown="0" headerRowDxfId="98" dataDxfId="97">
  <autoFilter ref="A27:V31"/>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85"/>
    <tableColumn id="6" uniqueName="6" name="RTE" queryTableFieldId="6" dataDxfId="84"/>
    <tableColumn id="7" uniqueName="7" name="SEC" queryTableFieldId="7" dataDxfId="83"/>
    <tableColumn id="8" uniqueName="8" name="SEQ" queryTableFieldId="8" dataDxfId="82"/>
    <tableColumn id="22" uniqueName="22" name="Fed #" queryTableFieldId="22" dataDxfId="81">
      <calculatedColumnFormula>CONCATENATE(Table_Query_from_MS_Access_Database_1[RTE],Table_Query_from_MS_Access_Database_1[SEC],Table_Query_from_MS_Access_Database_1[SEQ])</calculatedColumnFormula>
    </tableColumn>
    <tableColumn id="9" uniqueName="9" name="PB Expected" queryTableFieldId="9" dataDxfId="80"/>
    <tableColumn id="10" uniqueName="10" name="PB Received" queryTableFieldId="10" dataDxfId="79"/>
    <tableColumn id="11" uniqueName="11" name="PF Transmitted" queryTableFieldId="11" dataDxfId="78"/>
    <tableColumn id="12" uniqueName="12" name="Finance Authorization" queryTableFieldId="12" dataDxfId="77"/>
    <tableColumn id="13" uniqueName="13" name="HURF EX" queryTableFieldId="13" dataDxfId="76"/>
    <tableColumn id="14" uniqueName="14" name="HSIP" queryTableFieldId="14" dataDxfId="75"/>
    <tableColumn id="15" uniqueName="15" name="PL" queryTableFieldId="15" dataDxfId="74"/>
    <tableColumn id="16" uniqueName="16" name="SPR" queryTableFieldId="16" dataDxfId="73"/>
    <tableColumn id="17" uniqueName="17" name="STP &lt;5" queryTableFieldId="17" dataDxfId="72"/>
    <tableColumn id="18" uniqueName="18" name="STP 5-200" queryTableFieldId="18" dataDxfId="71"/>
    <tableColumn id="19" uniqueName="19" name="STP OTHER" queryTableFieldId="19" dataDxfId="70"/>
    <tableColumn id="20" uniqueName="20" name="TOTAL OF AMOUNT" queryTableFieldId="21" dataDxfId="69">
      <calculatedColumnFormula>SUM(Table_Query_from_MS_Access_Database_1[[#This Row],[HURF EX]:[STP OTHER]])</calculatedColumnFormula>
    </tableColumn>
    <tableColumn id="21" uniqueName="21" name="EXPECTED DECLINING BALANCE OA" queryTableFieldId="20" dataDxfId="0">
      <calculatedColumnFormula>V22-Table_Query_from_MS_Access_Database_1[TOTAL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49" tableType="queryTable" totalsRowShown="0" headerRowDxfId="96" headerRowBorderDxfId="95" tableBorderDxfId="94" totalsRowBorderDxfId="93" headerRowCellStyle="Comma" dataCellStyle="Comma">
  <autoFilter ref="A11:W49"/>
  <tableColumns count="23">
    <tableColumn id="10" uniqueName="10" name="Transaction Year" queryTableFieldId="1" dataDxfId="23" dataCellStyle="Comma"/>
    <tableColumn id="11" uniqueName="11" name="Transaction Type" queryTableFieldId="2" dataDxfId="22" dataCellStyle="Comma"/>
    <tableColumn id="12" uniqueName="12" name="Number" queryTableFieldId="3" dataDxfId="21" dataCellStyle="Comma"/>
    <tableColumn id="13" uniqueName="13" name="From" queryTableFieldId="4" dataDxfId="20" dataCellStyle="Comma"/>
    <tableColumn id="14" uniqueName="14" name="To" queryTableFieldId="5" dataDxfId="19" dataCellStyle="Comma"/>
    <tableColumn id="15" uniqueName="15" name="Repayment Year" queryTableFieldId="6" dataDxfId="18" dataCellStyle="Comma"/>
    <tableColumn id="16" uniqueName="16" name="Project8" queryTableFieldId="7" dataDxfId="17" dataCellStyle="Comma"/>
    <tableColumn id="17" uniqueName="17" name="Notes" queryTableFieldId="8" dataDxfId="16" dataCellStyle="Comma"/>
    <tableColumn id="18" uniqueName="18" name="Total" queryTableFieldId="9" dataDxfId="15" dataCellStyle="Comma"/>
    <tableColumn id="19" uniqueName="19" name="CMAQ" queryTableFieldId="10" dataDxfId="14" dataCellStyle="Comma"/>
    <tableColumn id="20" uniqueName="20" name="CMAQ 25" queryTableFieldId="11" dataDxfId="13" dataCellStyle="Comma"/>
    <tableColumn id="21" uniqueName="21" name="HURF Exchange" queryTableFieldId="12" dataDxfId="12" dataCellStyle="Comma"/>
    <tableColumn id="22" uniqueName="22" name="HSIP" queryTableFieldId="13" dataDxfId="11" dataCellStyle="Comma"/>
    <tableColumn id="23" uniqueName="23" name="PLAN" queryTableFieldId="14" dataDxfId="10" dataCellStyle="Comma"/>
    <tableColumn id="24" uniqueName="24" name="SPR" queryTableFieldId="15" dataDxfId="9" dataCellStyle="Comma"/>
    <tableColumn id="25" uniqueName="25" name="STP &lt;5" queryTableFieldId="16" dataDxfId="8" dataCellStyle="Comma"/>
    <tableColumn id="26" uniqueName="26" name="STP 5-2" queryTableFieldId="17" dataDxfId="7" dataCellStyle="Comma"/>
    <tableColumn id="27" uniqueName="27" name="STP FLEX" queryTableFieldId="18" dataDxfId="6" dataCellStyle="Comma"/>
    <tableColumn id="28" uniqueName="28" name="STP &gt;200" queryTableFieldId="19" dataDxfId="5" dataCellStyle="Comma"/>
    <tableColumn id="29" uniqueName="29" name="TAP FLEX" queryTableFieldId="20" dataDxfId="4" dataCellStyle="Comma"/>
    <tableColumn id="30" uniqueName="30" name="TAP &gt;200" queryTableFieldId="21" dataDxfId="3" dataCellStyle="Comma"/>
    <tableColumn id="31" uniqueName="31" name="TAP &lt;5" queryTableFieldId="22" dataDxfId="2" dataCellStyle="Comma"/>
    <tableColumn id="32" uniqueName="32" name="TAP 5-2" queryTableFieldId="23"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2:W90" tableType="queryTable" totalsRowShown="0" headerRowDxfId="92" dataDxfId="91" tableBorderDxfId="90" headerRowCellStyle="Comma" dataCellStyle="Comma">
  <autoFilter ref="A52:W90"/>
  <tableColumns count="23">
    <tableColumn id="18" uniqueName="18" name="Transaction Year" queryTableFieldId="1" dataDxfId="46" dataCellStyle="Comma"/>
    <tableColumn id="19" uniqueName="19" name="Transaction Type" queryTableFieldId="2" dataDxfId="45" dataCellStyle="Comma"/>
    <tableColumn id="20" uniqueName="20" name="Number" queryTableFieldId="3" dataDxfId="44" dataCellStyle="Comma"/>
    <tableColumn id="21" uniqueName="21" name="From" queryTableFieldId="4" dataDxfId="43" dataCellStyle="Comma"/>
    <tableColumn id="22" uniqueName="22" name="To" queryTableFieldId="5" dataDxfId="42" dataCellStyle="Comma"/>
    <tableColumn id="23" uniqueName="23" name="Repayment Year" queryTableFieldId="6" dataDxfId="41" dataCellStyle="Comma"/>
    <tableColumn id="24" uniqueName="24" name="Project8" queryTableFieldId="7" dataDxfId="40" dataCellStyle="Comma"/>
    <tableColumn id="25" uniqueName="25" name="Notes" queryTableFieldId="8" dataDxfId="39" dataCellStyle="Comma"/>
    <tableColumn id="26" uniqueName="26" name="Total" queryTableFieldId="9" dataDxfId="38" dataCellStyle="Comma"/>
    <tableColumn id="27" uniqueName="27" name="CMAQ" queryTableFieldId="10" dataDxfId="37" dataCellStyle="Comma"/>
    <tableColumn id="28" uniqueName="28" name="CMAQ 25" queryTableFieldId="11" dataDxfId="36" dataCellStyle="Comma"/>
    <tableColumn id="29" uniqueName="29" name="HURF Exchange" queryTableFieldId="12" dataDxfId="35" dataCellStyle="Comma"/>
    <tableColumn id="30" uniqueName="30" name="HSIP" queryTableFieldId="13" dataDxfId="34" dataCellStyle="Comma"/>
    <tableColumn id="31" uniqueName="31" name="PLAN" queryTableFieldId="14" dataDxfId="33" dataCellStyle="Comma"/>
    <tableColumn id="32" uniqueName="32" name="SPR" queryTableFieldId="15" dataDxfId="32" dataCellStyle="Comma"/>
    <tableColumn id="33" uniqueName="33" name="STP &lt;5" queryTableFieldId="16" dataDxfId="31" dataCellStyle="Comma"/>
    <tableColumn id="34" uniqueName="34" name="STP 5-2" queryTableFieldId="17" dataDxfId="30" dataCellStyle="Comma"/>
    <tableColumn id="35" uniqueName="35" name="STP FLEX" queryTableFieldId="18" dataDxfId="29" dataCellStyle="Comma"/>
    <tableColumn id="36" uniqueName="36" name="STP &gt;200" queryTableFieldId="19" dataDxfId="28" dataCellStyle="Comma"/>
    <tableColumn id="37" uniqueName="37" name="TAP FLEX" queryTableFieldId="20" dataDxfId="27" dataCellStyle="Comma"/>
    <tableColumn id="38" uniqueName="38" name="TAP &gt;200" queryTableFieldId="21" dataDxfId="26" dataCellStyle="Comma"/>
    <tableColumn id="39" uniqueName="39" name="TAP &lt;5" queryTableFieldId="22" dataDxfId="25" dataCellStyle="Comma"/>
    <tableColumn id="40" uniqueName="40" name="TAP 5-2" queryTableFieldId="23" dataDxfId="24"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topLeftCell="C7" zoomScale="90" zoomScaleNormal="90" zoomScaleSheetLayoutView="115" workbookViewId="0">
      <selection activeCell="V31" sqref="V3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55" t="s">
        <v>118</v>
      </c>
      <c r="B1" s="155"/>
      <c r="C1" s="155"/>
      <c r="D1" s="155"/>
      <c r="E1" s="155"/>
      <c r="F1" s="155"/>
      <c r="J1" s="34"/>
      <c r="K1" s="35"/>
      <c r="L1" s="34"/>
      <c r="M1" s="49"/>
      <c r="N1" s="165" t="s">
        <v>79</v>
      </c>
      <c r="O1" s="165"/>
      <c r="P1" s="165"/>
      <c r="Q1" s="165"/>
      <c r="R1" s="165"/>
      <c r="S1" s="165"/>
      <c r="T1" s="165"/>
      <c r="U1" s="165"/>
    </row>
    <row r="2" spans="1:22" ht="17.25" customHeight="1" thickBot="1" x14ac:dyDescent="0.3">
      <c r="J2" s="34"/>
      <c r="K2" s="34"/>
      <c r="L2" s="34"/>
      <c r="M2" s="49"/>
      <c r="N2" s="162" t="s">
        <v>12</v>
      </c>
      <c r="O2" s="163"/>
      <c r="P2" s="163"/>
      <c r="Q2" s="163"/>
      <c r="R2" s="163"/>
      <c r="S2" s="163"/>
      <c r="T2" s="163"/>
      <c r="U2" s="164"/>
    </row>
    <row r="3" spans="1:22" ht="27.6" customHeight="1" x14ac:dyDescent="0.25">
      <c r="A3" s="158" t="s">
        <v>82</v>
      </c>
      <c r="B3" s="158"/>
      <c r="C3" s="158"/>
      <c r="D3" s="158"/>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57" t="s">
        <v>196</v>
      </c>
      <c r="B4" s="157"/>
      <c r="C4" s="157"/>
      <c r="D4" s="157"/>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43585</v>
      </c>
      <c r="J5" s="34"/>
      <c r="K5" s="34"/>
      <c r="L5" s="34"/>
      <c r="M5" s="81" t="s">
        <v>102</v>
      </c>
      <c r="N5" s="126">
        <v>0</v>
      </c>
      <c r="O5" s="127">
        <v>0</v>
      </c>
      <c r="P5" s="127">
        <v>123831</v>
      </c>
      <c r="Q5" s="94">
        <v>125000</v>
      </c>
      <c r="R5" s="94">
        <v>166427</v>
      </c>
      <c r="S5" s="94">
        <v>517718</v>
      </c>
      <c r="T5" s="94">
        <v>0</v>
      </c>
      <c r="U5" s="128">
        <f t="shared" ref="U5:U12" si="0">SUM(O5:T5)</f>
        <v>932976</v>
      </c>
      <c r="V5" s="127">
        <f>ROUND(+Table1[[#This Row],[Total]]*0.949,0)</f>
        <v>885394</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10000</v>
      </c>
      <c r="T6" s="129">
        <f>SUMIFS(Table_Query_from_MS_Access_Database[[#All],[STP FLEX]],Table_Query_from_MS_Access_Database[[#All],[Transaction Year]],"2019",Table_Query_from_MS_Access_Database[[#All],[Transaction Type]],"loan in")</f>
        <v>0</v>
      </c>
      <c r="U6" s="128">
        <f t="shared" si="0"/>
        <v>10000</v>
      </c>
      <c r="V6" s="130">
        <f>SUMIFS(Table_Query_from_MS_Access_Database_16[[#All],[Total]],Table_Query_from_MS_Access_Database_16[[#All],[Transaction Year]],"2019",Table_Query_from_MS_Access_Database_16[[#All],[Transaction Type]],"Loan In")</f>
        <v>10000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0</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0</v>
      </c>
      <c r="V7" s="130">
        <f>SUMIFS(Table_Query_from_MS_Access_Database_16[[#All],[Total]],Table_Query_from_MS_Access_Database_16[[#All],[Transaction Year]],"2019",Table_Query_from_MS_Access_Database_16[[#All],[Transaction Type]],"Loan Out")</f>
        <v>0</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57" t="s">
        <v>88</v>
      </c>
      <c r="B9" s="157"/>
      <c r="C9" s="157"/>
      <c r="D9" s="157"/>
      <c r="E9" s="157"/>
      <c r="F9" s="157"/>
      <c r="G9" s="157"/>
      <c r="H9" s="157"/>
      <c r="I9" s="157"/>
      <c r="J9" s="157"/>
      <c r="K9" s="157"/>
      <c r="L9" s="157"/>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0</v>
      </c>
      <c r="O12" s="137">
        <f t="shared" ref="O12:T12" si="2">SUM(O4:O11)</f>
        <v>0</v>
      </c>
      <c r="P12" s="131">
        <f t="shared" si="2"/>
        <v>123831</v>
      </c>
      <c r="Q12" s="131">
        <f t="shared" si="2"/>
        <v>125000</v>
      </c>
      <c r="R12" s="131">
        <f t="shared" si="2"/>
        <v>7827</v>
      </c>
      <c r="S12" s="131">
        <f t="shared" si="2"/>
        <v>36318</v>
      </c>
      <c r="T12" s="131">
        <f t="shared" si="2"/>
        <v>0</v>
      </c>
      <c r="U12" s="132">
        <f t="shared" si="0"/>
        <v>292976</v>
      </c>
      <c r="V12" s="133">
        <f>SUM(V4:V11)</f>
        <v>245394</v>
      </c>
    </row>
    <row r="13" spans="1:22" x14ac:dyDescent="0.25">
      <c r="J13" s="34"/>
      <c r="K13" s="34"/>
      <c r="L13" s="34"/>
      <c r="M13" s="34"/>
      <c r="N13" s="42"/>
      <c r="O13" s="43"/>
      <c r="P13" s="43"/>
      <c r="Q13" s="43"/>
      <c r="R13" s="43"/>
      <c r="S13" s="43"/>
      <c r="T13" s="39"/>
    </row>
    <row r="14" spans="1:22" ht="15.75" customHeight="1" x14ac:dyDescent="0.25">
      <c r="A14" s="156" t="s">
        <v>63</v>
      </c>
      <c r="B14" s="156"/>
      <c r="C14" s="156"/>
      <c r="D14" s="156"/>
      <c r="J14" s="159" t="s">
        <v>64</v>
      </c>
      <c r="K14" s="160"/>
      <c r="L14" s="160"/>
      <c r="M14" s="161"/>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152336.75</v>
      </c>
    </row>
    <row r="17" spans="1:22" s="51" customFormat="1" ht="13.5" x14ac:dyDescent="0.25">
      <c r="A17" s="149" t="s">
        <v>172</v>
      </c>
      <c r="B17" s="149"/>
      <c r="C17" s="149" t="s">
        <v>121</v>
      </c>
      <c r="D17" s="149" t="s">
        <v>8</v>
      </c>
      <c r="E17" s="153" t="s">
        <v>173</v>
      </c>
      <c r="F17" s="153" t="s">
        <v>174</v>
      </c>
      <c r="G17" s="153" t="s">
        <v>108</v>
      </c>
      <c r="H17" s="153" t="s">
        <v>109</v>
      </c>
      <c r="I17" s="152"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58586.75</v>
      </c>
    </row>
    <row r="18" spans="1:22" s="51" customFormat="1" ht="13.5" x14ac:dyDescent="0.25">
      <c r="A18" s="149" t="s">
        <v>175</v>
      </c>
      <c r="B18" s="149"/>
      <c r="C18" s="149" t="s">
        <v>121</v>
      </c>
      <c r="D18" s="149" t="s">
        <v>8</v>
      </c>
      <c r="E18" s="153" t="s">
        <v>176</v>
      </c>
      <c r="F18" s="153" t="s">
        <v>174</v>
      </c>
      <c r="G18" s="153" t="s">
        <v>110</v>
      </c>
      <c r="H18" s="153" t="s">
        <v>109</v>
      </c>
      <c r="I18" s="152" t="str">
        <f>CONCATENATE(Table_Query_from_MS_Access_Database8[RTE],Table_Query_from_MS_Access_Database8[SEC],Table_Query_from_MS_Access_Database8[SEQ])</f>
        <v>CYMP019</v>
      </c>
      <c r="J18" s="116">
        <v>43435</v>
      </c>
      <c r="K18" s="116">
        <v>43439</v>
      </c>
      <c r="L18" s="116">
        <v>43441</v>
      </c>
      <c r="M18" s="116">
        <v>43445</v>
      </c>
      <c r="N18" s="142"/>
      <c r="O18" s="142"/>
      <c r="P18" s="142">
        <v>31044.32</v>
      </c>
      <c r="Q18" s="142"/>
      <c r="R18" s="144"/>
      <c r="S18" s="144"/>
      <c r="T18" s="144"/>
      <c r="U18" s="144">
        <f>SUM(Table_Query_from_MS_Access_Database8[[#This Row],[HURF EX]:[STP other]])</f>
        <v>31044.32</v>
      </c>
      <c r="V18" s="144">
        <f>V17-Table_Query_from_MS_Access_Database8[TOTAL OF AMOUNT]</f>
        <v>27542.43</v>
      </c>
    </row>
    <row r="19" spans="1:22" s="51" customFormat="1" ht="13.5" x14ac:dyDescent="0.25">
      <c r="A19" s="149" t="s">
        <v>216</v>
      </c>
      <c r="B19" s="149"/>
      <c r="C19" s="149" t="s">
        <v>121</v>
      </c>
      <c r="D19" s="149" t="s">
        <v>8</v>
      </c>
      <c r="E19" s="153" t="s">
        <v>217</v>
      </c>
      <c r="F19" s="153" t="s">
        <v>174</v>
      </c>
      <c r="G19" s="153" t="s">
        <v>110</v>
      </c>
      <c r="H19" s="153" t="s">
        <v>218</v>
      </c>
      <c r="I19" s="152" t="str">
        <f>CONCATENATE(Table_Query_from_MS_Access_Database8[RTE],Table_Query_from_MS_Access_Database8[SEC],Table_Query_from_MS_Access_Database8[SEQ])</f>
        <v>CYMP018</v>
      </c>
      <c r="J19" s="116">
        <v>43435</v>
      </c>
      <c r="K19" s="116">
        <v>43440</v>
      </c>
      <c r="L19" s="116">
        <v>43441</v>
      </c>
      <c r="M19" s="116">
        <v>43445</v>
      </c>
      <c r="N19" s="142"/>
      <c r="O19" s="142"/>
      <c r="P19" s="142">
        <v>-31044.32</v>
      </c>
      <c r="Q19" s="142"/>
      <c r="R19" s="144"/>
      <c r="S19" s="144"/>
      <c r="T19" s="144"/>
      <c r="U19" s="144">
        <f>SUM(Table_Query_from_MS_Access_Database8[[#This Row],[HURF EX]:[STP other]])</f>
        <v>-31044.32</v>
      </c>
      <c r="V19" s="144">
        <f>V18-Table_Query_from_MS_Access_Database8[TOTAL OF AMOUNT]</f>
        <v>58586.75</v>
      </c>
    </row>
    <row r="20" spans="1:22" s="51" customFormat="1" ht="13.5" x14ac:dyDescent="0.25">
      <c r="A20" s="149" t="s">
        <v>219</v>
      </c>
      <c r="B20" s="149" t="s">
        <v>220</v>
      </c>
      <c r="C20" s="149" t="s">
        <v>121</v>
      </c>
      <c r="D20" s="149" t="s">
        <v>8</v>
      </c>
      <c r="E20" s="153" t="s">
        <v>221</v>
      </c>
      <c r="F20" s="153" t="s">
        <v>174</v>
      </c>
      <c r="G20" s="153" t="s">
        <v>108</v>
      </c>
      <c r="H20" s="153" t="s">
        <v>218</v>
      </c>
      <c r="I20" s="152" t="str">
        <f>CONCATENATE(Table_Query_from_MS_Access_Database8[RTE],Table_Query_from_MS_Access_Database8[SEC],Table_Query_from_MS_Access_Database8[SEQ])</f>
        <v>CYMS018</v>
      </c>
      <c r="J20" s="116">
        <v>43405</v>
      </c>
      <c r="K20" s="116">
        <v>43434</v>
      </c>
      <c r="L20" s="116">
        <v>43446</v>
      </c>
      <c r="M20" s="116">
        <v>43451</v>
      </c>
      <c r="N20" s="142"/>
      <c r="O20" s="142"/>
      <c r="P20" s="142"/>
      <c r="Q20" s="142">
        <v>9659.51</v>
      </c>
      <c r="R20" s="144"/>
      <c r="S20" s="144"/>
      <c r="T20" s="144"/>
      <c r="U20" s="144">
        <f>SUM(Table_Query_from_MS_Access_Database8[[#This Row],[HURF EX]:[STP other]])</f>
        <v>9659.51</v>
      </c>
      <c r="V20" s="144">
        <f>V19-Table_Query_from_MS_Access_Database8[TOTAL OF AMOUNT]</f>
        <v>48927.24</v>
      </c>
    </row>
    <row r="21" spans="1:22" s="89" customFormat="1" ht="13.5" x14ac:dyDescent="0.25">
      <c r="A21" s="149" t="s">
        <v>222</v>
      </c>
      <c r="B21" s="149"/>
      <c r="C21" s="149" t="s">
        <v>121</v>
      </c>
      <c r="D21" s="149" t="s">
        <v>8</v>
      </c>
      <c r="E21" s="153" t="s">
        <v>223</v>
      </c>
      <c r="F21" s="153" t="s">
        <v>174</v>
      </c>
      <c r="G21" s="153" t="s">
        <v>108</v>
      </c>
      <c r="H21" s="153" t="s">
        <v>224</v>
      </c>
      <c r="I21" s="152" t="str">
        <f>CONCATENATE(Table_Query_from_MS_Access_Database8[RTE],Table_Query_from_MS_Access_Database8[SEC],Table_Query_from_MS_Access_Database8[SEQ])</f>
        <v>CYMS017</v>
      </c>
      <c r="J21" s="116">
        <v>43405</v>
      </c>
      <c r="K21" s="116">
        <v>43434</v>
      </c>
      <c r="L21" s="116">
        <v>43446</v>
      </c>
      <c r="M21" s="116">
        <v>43451</v>
      </c>
      <c r="N21" s="142"/>
      <c r="O21" s="142"/>
      <c r="P21" s="142"/>
      <c r="Q21" s="142">
        <v>-9659.51</v>
      </c>
      <c r="R21" s="144"/>
      <c r="S21" s="144"/>
      <c r="T21" s="144"/>
      <c r="U21" s="144">
        <f>SUM(Table_Query_from_MS_Access_Database8[[#This Row],[HURF EX]:[STP other]])</f>
        <v>-9659.51</v>
      </c>
      <c r="V21" s="144">
        <f>V20-Table_Query_from_MS_Access_Database8[TOTAL OF AMOUNT]</f>
        <v>58586.75</v>
      </c>
    </row>
    <row r="22" spans="1:22" s="89" customFormat="1" ht="27" x14ac:dyDescent="0.25">
      <c r="A22" s="149" t="s">
        <v>225</v>
      </c>
      <c r="B22" s="149" t="s">
        <v>226</v>
      </c>
      <c r="C22" s="149" t="s">
        <v>121</v>
      </c>
      <c r="D22" s="149" t="s">
        <v>21</v>
      </c>
      <c r="E22" s="153" t="s">
        <v>227</v>
      </c>
      <c r="F22" s="153" t="s">
        <v>174</v>
      </c>
      <c r="G22" s="153" t="s">
        <v>208</v>
      </c>
      <c r="H22" s="153" t="s">
        <v>228</v>
      </c>
      <c r="I22" s="152" t="str">
        <f>CONCATENATE(Table_Query_from_MS_Access_Database8[RTE],Table_Query_from_MS_Access_Database8[SEC],Table_Query_from_MS_Access_Database8[SEQ])</f>
        <v>CYM0203</v>
      </c>
      <c r="J22" s="116">
        <v>43453</v>
      </c>
      <c r="K22" s="116">
        <v>43453</v>
      </c>
      <c r="L22" s="116">
        <v>43454</v>
      </c>
      <c r="M22" s="116">
        <v>43479</v>
      </c>
      <c r="N22" s="142"/>
      <c r="O22" s="142">
        <v>-99881.88</v>
      </c>
      <c r="P22" s="142"/>
      <c r="Q22" s="142"/>
      <c r="R22" s="144"/>
      <c r="S22" s="144"/>
      <c r="T22" s="144"/>
      <c r="U22" s="144">
        <f>SUM(Table_Query_from_MS_Access_Database8[[#This Row],[HURF EX]:[STP other]])</f>
        <v>-99881.88</v>
      </c>
      <c r="V22" s="144">
        <f>V21-Table_Query_from_MS_Access_Database8[TOTAL OF AMOUNT]</f>
        <v>158468.63</v>
      </c>
    </row>
    <row r="23" spans="1:22" s="89" customFormat="1" ht="13.5" x14ac:dyDescent="0.25">
      <c r="A23" s="51"/>
      <c r="B23" s="51"/>
      <c r="C23" s="51"/>
      <c r="D23" s="51"/>
      <c r="E23" s="46"/>
      <c r="F23" s="46"/>
      <c r="G23" s="46"/>
      <c r="H23" s="46"/>
      <c r="I23" s="46"/>
      <c r="J23" s="46"/>
      <c r="K23" s="46"/>
      <c r="L23" s="46"/>
      <c r="M23" s="76" t="s">
        <v>77</v>
      </c>
      <c r="N23" s="96">
        <f>SUM(Table_Query_from_MS_Access_Database8[[#All],[HURF EX]])</f>
        <v>0</v>
      </c>
      <c r="O23" s="96">
        <f>SUM(Table_Query_from_MS_Access_Database8[[#All],[HSIP]])</f>
        <v>-99881.88</v>
      </c>
      <c r="P23" s="96">
        <f>SUM(Table_Query_from_MS_Access_Database8[[#All],[PL]])</f>
        <v>93057.25</v>
      </c>
      <c r="Q23" s="96">
        <f>SUM(Table_Query_from_MS_Access_Database8[[#All],[SPR]])</f>
        <v>93750</v>
      </c>
      <c r="R23" s="96">
        <f>SUM(Table_Query_from_MS_Access_Database8[[#All],[STP &lt;5]])</f>
        <v>0</v>
      </c>
      <c r="S23" s="96">
        <f>SUM(Table_Query_from_MS_Access_Database8[[#All],[STP 5-200]])</f>
        <v>0</v>
      </c>
      <c r="T23" s="96">
        <f>SUM(Table_Query_from_MS_Access_Database8[[#All],[STP other]])</f>
        <v>0</v>
      </c>
      <c r="U23" s="96">
        <f>SUM(Table_Query_from_MS_Access_Database8[[#All],[TOTAL OF AMOUNT]])</f>
        <v>86925.37</v>
      </c>
      <c r="V23" s="95"/>
    </row>
    <row r="24" spans="1:22" s="89" customFormat="1" ht="27" x14ac:dyDescent="0.25">
      <c r="E24" s="46"/>
      <c r="F24" s="46"/>
      <c r="G24" s="46"/>
      <c r="H24" s="46"/>
      <c r="I24" s="46"/>
      <c r="J24" s="46"/>
      <c r="K24" s="46"/>
      <c r="L24" s="46"/>
      <c r="M24" s="76" t="s">
        <v>76</v>
      </c>
      <c r="N24" s="96">
        <f t="shared" ref="N24:U24" si="3">+N12-N23</f>
        <v>0</v>
      </c>
      <c r="O24" s="96">
        <f t="shared" si="3"/>
        <v>99881.88</v>
      </c>
      <c r="P24" s="96">
        <f t="shared" si="3"/>
        <v>30773.75</v>
      </c>
      <c r="Q24" s="96">
        <f t="shared" si="3"/>
        <v>31250</v>
      </c>
      <c r="R24" s="96">
        <f t="shared" si="3"/>
        <v>7827</v>
      </c>
      <c r="S24" s="96">
        <f t="shared" si="3"/>
        <v>36318</v>
      </c>
      <c r="T24" s="96">
        <f t="shared" si="3"/>
        <v>0</v>
      </c>
      <c r="U24" s="96">
        <f t="shared" si="3"/>
        <v>206050.63</v>
      </c>
      <c r="V24" s="95"/>
    </row>
    <row r="25" spans="1:22" s="51" customFormat="1" ht="15" x14ac:dyDescent="0.25">
      <c r="A25" s="53"/>
      <c r="B25" s="53"/>
      <c r="C25" s="53"/>
      <c r="D25" s="53"/>
      <c r="E25" s="47"/>
      <c r="F25" s="47"/>
      <c r="G25" s="47"/>
      <c r="H25" s="47"/>
      <c r="I25" s="47"/>
      <c r="J25" s="47"/>
      <c r="K25" s="47"/>
      <c r="L25" s="47"/>
      <c r="M25" s="53"/>
      <c r="N25" s="53"/>
      <c r="O25" s="53"/>
      <c r="P25" s="53"/>
      <c r="Q25" s="53"/>
      <c r="R25" s="53"/>
      <c r="S25" s="45"/>
      <c r="V25" s="56"/>
    </row>
    <row r="26" spans="1:22" s="89" customFormat="1" ht="17.25" x14ac:dyDescent="0.3">
      <c r="A26" s="156" t="s">
        <v>35</v>
      </c>
      <c r="B26" s="156"/>
      <c r="C26" s="156"/>
      <c r="D26" s="156"/>
      <c r="E26" s="52"/>
      <c r="F26" s="52"/>
      <c r="G26" s="53"/>
      <c r="H26" s="53"/>
      <c r="I26" s="53"/>
      <c r="J26" s="55"/>
      <c r="K26" s="54"/>
      <c r="L26" s="54"/>
      <c r="M26" s="54"/>
      <c r="N26" s="54"/>
      <c r="O26" s="45"/>
      <c r="P26" s="45"/>
      <c r="Q26" s="47"/>
      <c r="R26" s="47"/>
      <c r="S26" s="45"/>
      <c r="T26" s="51"/>
      <c r="U26" s="51"/>
      <c r="V26" s="75"/>
    </row>
    <row r="27" spans="1:22" s="89" customFormat="1" ht="40.5" x14ac:dyDescent="0.25">
      <c r="A27" s="77" t="s">
        <v>1</v>
      </c>
      <c r="B27" s="77" t="s">
        <v>0</v>
      </c>
      <c r="C27" s="77" t="s">
        <v>3</v>
      </c>
      <c r="D27" s="77" t="s">
        <v>85</v>
      </c>
      <c r="E27" s="77" t="s">
        <v>2</v>
      </c>
      <c r="F27" s="77" t="s">
        <v>47</v>
      </c>
      <c r="G27" s="77" t="s">
        <v>48</v>
      </c>
      <c r="H27" s="77" t="s">
        <v>49</v>
      </c>
      <c r="I27" s="77" t="s">
        <v>111</v>
      </c>
      <c r="J27" s="77" t="s">
        <v>50</v>
      </c>
      <c r="K27" s="77" t="s">
        <v>51</v>
      </c>
      <c r="L27" s="77" t="s">
        <v>52</v>
      </c>
      <c r="M27" s="77" t="s">
        <v>53</v>
      </c>
      <c r="N27" s="77" t="s">
        <v>186</v>
      </c>
      <c r="O27" s="77" t="s">
        <v>4</v>
      </c>
      <c r="P27" s="77" t="s">
        <v>43</v>
      </c>
      <c r="Q27" s="77" t="s">
        <v>5</v>
      </c>
      <c r="R27" s="77" t="s">
        <v>107</v>
      </c>
      <c r="S27" s="77" t="s">
        <v>187</v>
      </c>
      <c r="T27" s="77" t="s">
        <v>54</v>
      </c>
      <c r="U27" s="77" t="s">
        <v>86</v>
      </c>
      <c r="V27" s="77" t="s">
        <v>55</v>
      </c>
    </row>
    <row r="28" spans="1:22" s="89" customFormat="1" ht="27" x14ac:dyDescent="0.25">
      <c r="A28" s="51" t="s">
        <v>206</v>
      </c>
      <c r="B28" s="51" t="s">
        <v>206</v>
      </c>
      <c r="C28" s="51" t="s">
        <v>121</v>
      </c>
      <c r="D28" s="51" t="s">
        <v>7</v>
      </c>
      <c r="E28" s="74" t="s">
        <v>207</v>
      </c>
      <c r="F28" s="118" t="s">
        <v>174</v>
      </c>
      <c r="G28" s="119" t="s">
        <v>208</v>
      </c>
      <c r="H28" s="119" t="s">
        <v>209</v>
      </c>
      <c r="I28" s="119" t="str">
        <f>CONCATENATE(Table_Query_from_MS_Access_Database_1[RTE],Table_Query_from_MS_Access_Database_1[SEC],Table_Query_from_MS_Access_Database_1[SEQ])</f>
        <v>CYM0TBD</v>
      </c>
      <c r="J28" s="147">
        <v>43617</v>
      </c>
      <c r="K28" s="147"/>
      <c r="L28" s="147"/>
      <c r="M28" s="148"/>
      <c r="N28" s="142"/>
      <c r="O28" s="142"/>
      <c r="P28" s="142"/>
      <c r="Q28" s="143"/>
      <c r="R28" s="95"/>
      <c r="S28" s="95">
        <v>10000</v>
      </c>
      <c r="T28" s="95"/>
      <c r="U28" s="95">
        <f>SUM(Table_Query_from_MS_Access_Database_1[[#This Row],[HURF EX]:[STP OTHER]])</f>
        <v>10000</v>
      </c>
      <c r="V28" s="144">
        <f>V22-Table_Query_from_MS_Access_Database_1[TOTAL OF AMOUNT]</f>
        <v>148468.63</v>
      </c>
    </row>
    <row r="29" spans="1:22" s="89" customFormat="1" ht="13.5" x14ac:dyDescent="0.25">
      <c r="A29" s="149" t="s">
        <v>201</v>
      </c>
      <c r="B29" s="149"/>
      <c r="C29" s="149" t="s">
        <v>121</v>
      </c>
      <c r="D29" s="149" t="s">
        <v>7</v>
      </c>
      <c r="E29" s="150" t="s">
        <v>202</v>
      </c>
      <c r="F29" s="151" t="s">
        <v>174</v>
      </c>
      <c r="G29" s="152" t="s">
        <v>108</v>
      </c>
      <c r="H29" s="152" t="s">
        <v>203</v>
      </c>
      <c r="I29" s="152" t="str">
        <f>CONCATENATE(Table_Query_from_MS_Access_Database_1[RTE],Table_Query_from_MS_Access_Database_1[SEC],Table_Query_from_MS_Access_Database_1[SEQ])</f>
        <v>CYMS020</v>
      </c>
      <c r="J29" s="148">
        <v>43617</v>
      </c>
      <c r="K29" s="148"/>
      <c r="L29" s="148"/>
      <c r="M29" s="148"/>
      <c r="N29" s="142"/>
      <c r="O29" s="142"/>
      <c r="P29" s="142"/>
      <c r="Q29" s="142">
        <v>31250</v>
      </c>
      <c r="R29" s="144"/>
      <c r="S29" s="144"/>
      <c r="T29" s="144"/>
      <c r="U29" s="144">
        <f>SUM(Table_Query_from_MS_Access_Database_1[[#This Row],[HURF EX]:[STP OTHER]])</f>
        <v>31250</v>
      </c>
      <c r="V29" s="144">
        <f>V28-Table_Query_from_MS_Access_Database_1[TOTAL OF AMOUNT]</f>
        <v>117218.63</v>
      </c>
    </row>
    <row r="30" spans="1:22" s="89" customFormat="1" ht="13.5" x14ac:dyDescent="0.25">
      <c r="A30" s="149" t="s">
        <v>204</v>
      </c>
      <c r="B30" s="149"/>
      <c r="C30" s="149" t="s">
        <v>121</v>
      </c>
      <c r="D30" s="149" t="s">
        <v>7</v>
      </c>
      <c r="E30" s="150" t="s">
        <v>205</v>
      </c>
      <c r="F30" s="151" t="s">
        <v>174</v>
      </c>
      <c r="G30" s="152" t="s">
        <v>110</v>
      </c>
      <c r="H30" s="152" t="s">
        <v>203</v>
      </c>
      <c r="I30" s="152" t="str">
        <f>CONCATENATE(Table_Query_from_MS_Access_Database_1[RTE],Table_Query_from_MS_Access_Database_1[SEC],Table_Query_from_MS_Access_Database_1[SEQ])</f>
        <v>CYMP020</v>
      </c>
      <c r="J30" s="148">
        <v>43617</v>
      </c>
      <c r="K30" s="148"/>
      <c r="L30" s="148"/>
      <c r="M30" s="148"/>
      <c r="N30" s="142"/>
      <c r="O30" s="142"/>
      <c r="P30" s="142">
        <v>30638.75</v>
      </c>
      <c r="Q30" s="142"/>
      <c r="R30" s="144"/>
      <c r="S30" s="144"/>
      <c r="T30" s="144"/>
      <c r="U30" s="144">
        <f>SUM(Table_Query_from_MS_Access_Database_1[[#This Row],[HURF EX]:[STP OTHER]])</f>
        <v>30638.75</v>
      </c>
      <c r="V30" s="144">
        <f>V29-Table_Query_from_MS_Access_Database_1[TOTAL OF AMOUNT]</f>
        <v>86579.88</v>
      </c>
    </row>
    <row r="31" spans="1:22" s="51" customFormat="1" ht="27" x14ac:dyDescent="0.25">
      <c r="A31" s="149" t="s">
        <v>210</v>
      </c>
      <c r="B31" s="149" t="s">
        <v>211</v>
      </c>
      <c r="C31" s="149" t="s">
        <v>212</v>
      </c>
      <c r="D31" s="149" t="s">
        <v>7</v>
      </c>
      <c r="E31" s="150" t="s">
        <v>213</v>
      </c>
      <c r="F31" s="151" t="s">
        <v>214</v>
      </c>
      <c r="G31" s="152" t="s">
        <v>208</v>
      </c>
      <c r="H31" s="152" t="s">
        <v>215</v>
      </c>
      <c r="I31" s="152" t="str">
        <f>CONCATENATE(Table_Query_from_MS_Access_Database_1[RTE],Table_Query_from_MS_Access_Database_1[SEC],Table_Query_from_MS_Access_Database_1[SEQ])</f>
        <v>0890HFX</v>
      </c>
      <c r="J31" s="148">
        <v>43617</v>
      </c>
      <c r="K31" s="148"/>
      <c r="L31" s="148"/>
      <c r="M31" s="148"/>
      <c r="N31" s="142">
        <v>350000</v>
      </c>
      <c r="O31" s="142"/>
      <c r="P31" s="142"/>
      <c r="Q31" s="142"/>
      <c r="R31" s="144"/>
      <c r="S31" s="144"/>
      <c r="T31" s="144"/>
      <c r="U31" s="144">
        <f>SUM(Table_Query_from_MS_Access_Database_1[[#This Row],[HURF EX]:[STP OTHER]])</f>
        <v>350000</v>
      </c>
      <c r="V31" s="144">
        <f>V30-Table_Query_from_MS_Access_Database_1[TOTAL OF AMOUNT]</f>
        <v>-263420.12</v>
      </c>
    </row>
    <row r="32" spans="1:22" s="51" customFormat="1" ht="13.5" x14ac:dyDescent="0.25">
      <c r="J32" s="56"/>
      <c r="K32" s="56"/>
      <c r="L32" s="56"/>
      <c r="M32" s="78" t="s">
        <v>87</v>
      </c>
      <c r="N32" s="145">
        <f>SUM(Table_Query_from_MS_Access_Database_1[[#All],[HURF EX]])</f>
        <v>350000</v>
      </c>
      <c r="O32" s="145">
        <f>SUM(Table_Query_from_MS_Access_Database_1[[#All],[HSIP]])</f>
        <v>0</v>
      </c>
      <c r="P32" s="145">
        <f>SUM(Table_Query_from_MS_Access_Database_1[[#All],[PL]])</f>
        <v>30638.75</v>
      </c>
      <c r="Q32" s="145">
        <f>SUM(Table_Query_from_MS_Access_Database_1[[#All],[SPR]])</f>
        <v>31250</v>
      </c>
      <c r="R32" s="145">
        <f>SUM(Table_Query_from_MS_Access_Database_1[[#All],[STP &lt;5]])</f>
        <v>0</v>
      </c>
      <c r="S32" s="145">
        <f>SUM(Table_Query_from_MS_Access_Database_1[[#All],[STP 5-200]])</f>
        <v>10000</v>
      </c>
      <c r="T32" s="145">
        <f>SUM(Table_Query_from_MS_Access_Database_1[[#All],[STP OTHER]])</f>
        <v>0</v>
      </c>
      <c r="U32" s="145">
        <f>SUM(Table_Query_from_MS_Access_Database_1[[#All],[TOTAL OF AMOUNT]])</f>
        <v>421888.75</v>
      </c>
      <c r="V32" s="146"/>
    </row>
    <row r="33" spans="1:22" s="51" customFormat="1" ht="27" x14ac:dyDescent="0.25">
      <c r="J33" s="56"/>
      <c r="K33" s="56"/>
      <c r="L33" s="56"/>
      <c r="M33" s="79" t="s">
        <v>76</v>
      </c>
      <c r="N33" s="96">
        <f t="shared" ref="N33:U33" si="4">+N24-N32</f>
        <v>-350000</v>
      </c>
      <c r="O33" s="96">
        <f t="shared" si="4"/>
        <v>99881.88</v>
      </c>
      <c r="P33" s="96">
        <f t="shared" si="4"/>
        <v>135</v>
      </c>
      <c r="Q33" s="96">
        <f t="shared" si="4"/>
        <v>0</v>
      </c>
      <c r="R33" s="96">
        <f t="shared" si="4"/>
        <v>7827</v>
      </c>
      <c r="S33" s="96">
        <f t="shared" si="4"/>
        <v>26318</v>
      </c>
      <c r="T33" s="96">
        <f t="shared" si="4"/>
        <v>0</v>
      </c>
      <c r="U33" s="96">
        <f t="shared" si="4"/>
        <v>-215838.12</v>
      </c>
      <c r="V33" s="95"/>
    </row>
    <row r="34" spans="1:22" s="48" customFormat="1" x14ac:dyDescent="0.25">
      <c r="J34" s="50"/>
      <c r="K34" s="50"/>
      <c r="L34" s="50"/>
      <c r="M34" s="50"/>
      <c r="N34" s="50">
        <f t="shared" ref="N34:U34" si="5">N23+N32</f>
        <v>350000</v>
      </c>
      <c r="O34" s="50">
        <f t="shared" si="5"/>
        <v>-99881.88</v>
      </c>
      <c r="P34" s="50">
        <f t="shared" si="5"/>
        <v>123696</v>
      </c>
      <c r="Q34" s="50">
        <f t="shared" si="5"/>
        <v>125000</v>
      </c>
      <c r="R34" s="50">
        <f t="shared" si="5"/>
        <v>0</v>
      </c>
      <c r="S34" s="50">
        <f t="shared" si="5"/>
        <v>10000</v>
      </c>
      <c r="T34" s="50">
        <f t="shared" si="5"/>
        <v>0</v>
      </c>
      <c r="U34" s="50">
        <f t="shared" si="5"/>
        <v>508814.12</v>
      </c>
      <c r="V34" s="51"/>
    </row>
    <row r="35" spans="1:22" s="48" customFormat="1" x14ac:dyDescent="0.25">
      <c r="J35" s="50"/>
      <c r="K35" s="50"/>
      <c r="L35" s="50"/>
      <c r="M35" s="50"/>
      <c r="N35" s="50"/>
      <c r="O35" s="50"/>
      <c r="P35" s="50"/>
      <c r="Q35" s="50"/>
      <c r="T35" s="56"/>
      <c r="U35" s="89"/>
      <c r="V35" s="51"/>
    </row>
    <row r="36" spans="1:22" s="51" customFormat="1" ht="17.25" x14ac:dyDescent="0.25">
      <c r="A36" s="57" t="s">
        <v>78</v>
      </c>
      <c r="B36" s="48"/>
      <c r="C36" s="48"/>
      <c r="D36" s="48"/>
      <c r="E36" s="48"/>
      <c r="F36" s="48"/>
      <c r="G36" s="48"/>
      <c r="H36" s="48"/>
      <c r="I36" s="48"/>
      <c r="J36" s="50"/>
      <c r="K36" s="50"/>
      <c r="L36" s="50"/>
      <c r="M36" s="50"/>
      <c r="N36" s="154" t="s">
        <v>60</v>
      </c>
      <c r="O36" s="154"/>
      <c r="P36" s="154"/>
      <c r="Q36" s="154"/>
      <c r="R36" s="52"/>
      <c r="S36" s="48"/>
      <c r="T36" s="56"/>
    </row>
    <row r="37" spans="1:22" s="51" customFormat="1" ht="13.5" x14ac:dyDescent="0.25">
      <c r="J37" s="56"/>
      <c r="K37" s="56"/>
      <c r="L37" s="56"/>
      <c r="M37" s="97"/>
      <c r="N37" s="122" t="s">
        <v>186</v>
      </c>
      <c r="O37" s="122" t="s">
        <v>4</v>
      </c>
      <c r="P37" s="122" t="s">
        <v>43</v>
      </c>
      <c r="Q37" s="122" t="s">
        <v>5</v>
      </c>
      <c r="R37" s="122" t="s">
        <v>107</v>
      </c>
      <c r="S37" s="122" t="s">
        <v>113</v>
      </c>
      <c r="T37" s="122" t="s">
        <v>54</v>
      </c>
      <c r="U37" s="122" t="s">
        <v>56</v>
      </c>
      <c r="V37" s="98" t="s">
        <v>61</v>
      </c>
    </row>
    <row r="38" spans="1:22" s="51" customFormat="1" ht="13.5" x14ac:dyDescent="0.25">
      <c r="J38" s="56"/>
      <c r="K38" s="56"/>
      <c r="L38" s="56"/>
      <c r="M38" s="91" t="s">
        <v>197</v>
      </c>
      <c r="N38" s="93">
        <f t="shared" ref="N38:S38" si="6">+N33</f>
        <v>-350000</v>
      </c>
      <c r="O38" s="93">
        <f t="shared" si="6"/>
        <v>99881.88</v>
      </c>
      <c r="P38" s="93">
        <f t="shared" si="6"/>
        <v>135</v>
      </c>
      <c r="Q38" s="93">
        <f t="shared" si="6"/>
        <v>0</v>
      </c>
      <c r="R38" s="93">
        <f t="shared" si="6"/>
        <v>7827</v>
      </c>
      <c r="S38" s="93">
        <f t="shared" si="6"/>
        <v>26318</v>
      </c>
      <c r="T38" s="93">
        <f t="shared" ref="T38" si="7">+T33</f>
        <v>0</v>
      </c>
      <c r="U38" s="93">
        <f>SUM(N38:T38)</f>
        <v>-215838.12</v>
      </c>
      <c r="V38" s="93">
        <f>V31</f>
        <v>-263420.12</v>
      </c>
    </row>
    <row r="39" spans="1:22" s="51" customFormat="1" ht="13.5" x14ac:dyDescent="0.25">
      <c r="J39" s="56"/>
      <c r="K39" s="56"/>
      <c r="L39" s="56"/>
      <c r="M39" s="91" t="s">
        <v>198</v>
      </c>
      <c r="N39" s="121">
        <f>SUMIFS(Table_Query_from_MS_Access_Database[[#All],[Total]],Table_Query_from_MS_Access_Database[[#All],[Transaction Year]],"2019",Table_Query_from_MS_Access_Database[[#All],[Transaction Type]],"Lapsing")</f>
        <v>0</v>
      </c>
      <c r="O39" s="121">
        <f>SUMIFS(Table_Query_from_MS_Access_Database[[#All],[Total]],Table_Query_from_MS_Access_Database[[#All],[Transaction Year]],"2019",Table_Query_from_MS_Access_Database[[#All],[Transaction Type]],"Lapsing")</f>
        <v>0</v>
      </c>
      <c r="P39" s="121">
        <f>SUMIFS(Table_Query_from_MS_Access_Database[[#All],[Total]],Table_Query_from_MS_Access_Database[[#All],[Transaction Year]],"2019",Table_Query_from_MS_Access_Database[[#All],[Transaction Type]],"Lapsing")</f>
        <v>0</v>
      </c>
      <c r="Q39" s="121">
        <f>SUMIFS(Table_Query_from_MS_Access_Database[[#All],[Total]],Table_Query_from_MS_Access_Database[[#All],[Transaction Year]],"2019",Table_Query_from_MS_Access_Database[[#All],[Transaction Type]],"Lapsing")</f>
        <v>0</v>
      </c>
      <c r="R39" s="121">
        <f>SUMIFS(Table_Query_from_MS_Access_Database[[#All],[Total]],Table_Query_from_MS_Access_Database[[#All],[Transaction Year]],"2019",Table_Query_from_MS_Access_Database[[#All],[Transaction Type]],"Lapsing")</f>
        <v>0</v>
      </c>
      <c r="S39" s="121">
        <f>SUMIFS(Table_Query_from_MS_Access_Database[[#All],[Total]],Table_Query_from_MS_Access_Database[[#All],[Transaction Year]],"2019",Table_Query_from_MS_Access_Database[[#All],[Transaction Type]],"Lapsing")</f>
        <v>0</v>
      </c>
      <c r="T39" s="121">
        <f>SUMIFS(Table_Query_from_MS_Access_Database[[#All],[Total]],Table_Query_from_MS_Access_Database[[#All],[Transaction Year]],"2019",Table_Query_from_MS_Access_Database[[#All],[Transaction Type]],"Lapsing")</f>
        <v>0</v>
      </c>
      <c r="U39" s="121">
        <f>SUMIFS(Table_Query_from_MS_Access_Database[[#All],[Total]],Table_Query_from_MS_Access_Database[[#All],[Transaction Year]],"2019",Table_Query_from_MS_Access_Database[[#All],[Transaction Type]],"Lapsing")</f>
        <v>0</v>
      </c>
      <c r="V39" s="121">
        <f>SUMIFS(Table_Query_from_MS_Access_Database_16[[#All],[To]],Table_Query_from_MS_Access_Database_16[[#All],[Transaction Year]],"2019",Table_Query_from_MS_Access_Database_16[[#All],[Transaction Type]],"Lapsing")</f>
        <v>0</v>
      </c>
    </row>
    <row r="40" spans="1:22" s="48" customFormat="1" x14ac:dyDescent="0.25">
      <c r="A40" s="51"/>
      <c r="B40" s="51"/>
      <c r="C40" s="51"/>
      <c r="D40" s="51"/>
      <c r="E40" s="51"/>
      <c r="F40" s="51"/>
      <c r="G40" s="51"/>
      <c r="H40" s="51"/>
      <c r="I40" s="51"/>
      <c r="J40" s="56"/>
      <c r="K40" s="56"/>
      <c r="L40" s="56"/>
      <c r="M40" s="91" t="s">
        <v>199</v>
      </c>
      <c r="N40" s="94">
        <f t="shared" ref="N40:P40" si="8">SUM(N38:N39)</f>
        <v>-350000</v>
      </c>
      <c r="O40" s="94">
        <f t="shared" ref="O40" si="9">SUM(O38:O39)</f>
        <v>99881.88</v>
      </c>
      <c r="P40" s="94">
        <f t="shared" si="8"/>
        <v>135</v>
      </c>
      <c r="Q40" s="94">
        <f t="shared" ref="Q40:R40" si="10">SUM(Q38:Q39)</f>
        <v>0</v>
      </c>
      <c r="R40" s="94">
        <f t="shared" si="10"/>
        <v>7827</v>
      </c>
      <c r="S40" s="94">
        <f t="shared" ref="S40:U40" si="11">SUM(S38:S39)</f>
        <v>26318</v>
      </c>
      <c r="T40" s="94">
        <f t="shared" ref="T40" si="12">SUM(T38:T39)</f>
        <v>0</v>
      </c>
      <c r="U40" s="94">
        <f t="shared" si="11"/>
        <v>-215838.12</v>
      </c>
      <c r="V40" s="94">
        <f>SUM(V38:V39)</f>
        <v>-263420.12</v>
      </c>
    </row>
    <row r="41" spans="1:22" s="48" customFormat="1" x14ac:dyDescent="0.25">
      <c r="A41" s="51"/>
      <c r="B41" s="51"/>
      <c r="C41" s="51"/>
      <c r="D41" s="51"/>
      <c r="E41" s="51"/>
      <c r="F41" s="51"/>
      <c r="G41" s="51"/>
      <c r="H41" s="51"/>
      <c r="I41" s="51"/>
      <c r="J41" s="56"/>
      <c r="K41" s="56"/>
      <c r="L41" s="56"/>
      <c r="M41" s="92" t="s">
        <v>200</v>
      </c>
      <c r="N41" s="121">
        <f t="shared" ref="N41:S41" si="13">+N38-N33</f>
        <v>0</v>
      </c>
      <c r="O41" s="121">
        <f t="shared" si="13"/>
        <v>0</v>
      </c>
      <c r="P41" s="121">
        <f t="shared" si="13"/>
        <v>0</v>
      </c>
      <c r="Q41" s="121">
        <f t="shared" si="13"/>
        <v>0</v>
      </c>
      <c r="R41" s="121">
        <f t="shared" si="13"/>
        <v>0</v>
      </c>
      <c r="S41" s="121">
        <f t="shared" si="13"/>
        <v>0</v>
      </c>
      <c r="T41" s="121">
        <f t="shared" ref="T41" si="14">+T38-T33</f>
        <v>0</v>
      </c>
      <c r="U41" s="121">
        <v>0</v>
      </c>
      <c r="V41" s="121">
        <v>0</v>
      </c>
    </row>
    <row r="42" spans="1:22" s="51" customFormat="1" x14ac:dyDescent="0.25">
      <c r="A42" s="48"/>
      <c r="B42" s="48"/>
      <c r="C42" s="48"/>
      <c r="D42" s="48"/>
      <c r="E42" s="48"/>
      <c r="F42" s="48"/>
      <c r="G42" s="48"/>
      <c r="H42" s="48"/>
      <c r="I42" s="48"/>
      <c r="J42" s="50"/>
      <c r="K42" s="50"/>
      <c r="L42" s="50"/>
      <c r="M42" s="50"/>
      <c r="N42" s="50"/>
      <c r="O42" s="50"/>
      <c r="P42" s="50"/>
      <c r="Q42" s="50"/>
      <c r="R42" s="48"/>
      <c r="S42" s="48"/>
    </row>
    <row r="43" spans="1:22" s="51" customFormat="1" x14ac:dyDescent="0.25">
      <c r="A43" s="33"/>
      <c r="B43" s="33"/>
      <c r="C43" s="33"/>
      <c r="D43" s="33"/>
      <c r="E43" s="33"/>
      <c r="F43" s="33"/>
      <c r="G43" s="33"/>
      <c r="H43" s="33"/>
      <c r="I43" s="33"/>
      <c r="J43" s="33"/>
      <c r="K43" s="33"/>
      <c r="L43" s="33"/>
      <c r="M43" s="33"/>
      <c r="N43" s="36"/>
      <c r="O43" s="36"/>
      <c r="P43" s="36"/>
      <c r="Q43" s="36"/>
      <c r="R43" s="36"/>
      <c r="S43" s="36"/>
      <c r="T43" s="36"/>
      <c r="U43" s="33"/>
      <c r="V43" s="33"/>
    </row>
  </sheetData>
  <sheetProtection autoFilter="0"/>
  <mergeCells count="10">
    <mergeCell ref="N36:Q36"/>
    <mergeCell ref="A1:F1"/>
    <mergeCell ref="A14:D14"/>
    <mergeCell ref="A9:L9"/>
    <mergeCell ref="A3:D3"/>
    <mergeCell ref="A4:D4"/>
    <mergeCell ref="J14:M14"/>
    <mergeCell ref="A26:D26"/>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90"/>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66" t="str">
        <f>+'Federal Funds Transactions'!A1:F1</f>
        <v>Central Yavapai Metropolitan Planning Organization</v>
      </c>
      <c r="B1" s="166"/>
      <c r="C1" s="166"/>
      <c r="D1" s="166"/>
      <c r="E1" s="166"/>
      <c r="F1" s="166"/>
    </row>
    <row r="2" spans="1:39" ht="14.45" x14ac:dyDescent="0.3">
      <c r="A2" s="27"/>
      <c r="B2" s="27"/>
      <c r="C2" s="27"/>
      <c r="D2" s="27"/>
      <c r="E2" s="27"/>
      <c r="F2" s="27"/>
    </row>
    <row r="3" spans="1:39" ht="14.45" x14ac:dyDescent="0.3">
      <c r="A3" s="167" t="s">
        <v>84</v>
      </c>
      <c r="B3" s="167"/>
      <c r="C3" s="167"/>
      <c r="D3" s="167"/>
      <c r="E3" s="167"/>
      <c r="F3" s="167"/>
    </row>
    <row r="4" spans="1:39" ht="14.45" x14ac:dyDescent="0.3">
      <c r="A4" s="28"/>
      <c r="B4" s="28"/>
      <c r="C4" s="28"/>
      <c r="D4" s="28"/>
      <c r="E4" s="28"/>
      <c r="F4" s="28"/>
    </row>
    <row r="5" spans="1:39" ht="14.45" x14ac:dyDescent="0.3">
      <c r="A5" s="25" t="s">
        <v>83</v>
      </c>
      <c r="B5" s="64">
        <f>+'Federal Funds Transactions'!C5</f>
        <v>43585</v>
      </c>
      <c r="C5" s="27"/>
      <c r="D5" s="27"/>
      <c r="E5" s="27"/>
      <c r="F5" s="27"/>
    </row>
    <row r="6" spans="1:39" ht="14.45" x14ac:dyDescent="0.3">
      <c r="A6" s="27"/>
      <c r="B6" s="27"/>
      <c r="C6" s="27"/>
      <c r="D6" s="27"/>
      <c r="E6" s="27"/>
      <c r="F6" s="27"/>
    </row>
    <row r="7" spans="1:39" ht="15" customHeight="1" x14ac:dyDescent="0.3">
      <c r="A7" s="170" t="str">
        <f>+'Federal Funds Transactions'!A9:L9</f>
        <v>IMPORTANT! Please review the information in the Notes tab for further explanation of the data in this document.</v>
      </c>
      <c r="B7" s="170"/>
      <c r="C7" s="170"/>
      <c r="D7" s="170"/>
      <c r="E7" s="170"/>
      <c r="F7" s="170"/>
      <c r="G7" s="170"/>
      <c r="H7" s="170"/>
    </row>
    <row r="9" spans="1:39" ht="15.75" customHeight="1" x14ac:dyDescent="0.3">
      <c r="A9" s="168" t="s">
        <v>80</v>
      </c>
      <c r="B9" s="168"/>
      <c r="C9" s="168"/>
      <c r="D9" s="168"/>
      <c r="E9" s="168"/>
      <c r="F9" s="168"/>
      <c r="G9" s="168"/>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132</v>
      </c>
      <c r="C47" s="25" t="s">
        <v>229</v>
      </c>
      <c r="D47" s="25" t="s">
        <v>230</v>
      </c>
      <c r="E47" s="25" t="s">
        <v>121</v>
      </c>
      <c r="F47" s="25" t="s">
        <v>231</v>
      </c>
      <c r="G47" s="25" t="s">
        <v>232</v>
      </c>
      <c r="H47" s="25" t="s">
        <v>233</v>
      </c>
      <c r="I47" s="25">
        <v>10000</v>
      </c>
      <c r="O47" s="135"/>
      <c r="P47" s="135"/>
      <c r="Q47" s="135">
        <v>10000</v>
      </c>
      <c r="R47" s="135"/>
      <c r="S47" s="135"/>
      <c r="T47" s="135"/>
      <c r="U47" s="135"/>
      <c r="V47" s="135"/>
      <c r="X47" s="69"/>
      <c r="Y47" s="69"/>
      <c r="Z47" s="69"/>
      <c r="AA47" s="69"/>
      <c r="AF47" s="9"/>
      <c r="AG47" s="9"/>
      <c r="AH47" s="9"/>
      <c r="AI47" s="9"/>
      <c r="AJ47" s="9"/>
      <c r="AK47" s="9"/>
      <c r="AL47" s="9"/>
      <c r="AM47" s="9"/>
    </row>
    <row r="48" spans="1:39" x14ac:dyDescent="0.25">
      <c r="A48" s="25" t="s">
        <v>99</v>
      </c>
      <c r="B48" s="25" t="s">
        <v>137</v>
      </c>
      <c r="C48" s="25" t="s">
        <v>153</v>
      </c>
      <c r="D48" s="25" t="s">
        <v>121</v>
      </c>
      <c r="E48" s="25" t="s">
        <v>134</v>
      </c>
      <c r="F48" s="25" t="s">
        <v>99</v>
      </c>
      <c r="G48" s="25" t="s">
        <v>154</v>
      </c>
      <c r="H48" s="25" t="s">
        <v>155</v>
      </c>
      <c r="I48" s="25">
        <v>-650000</v>
      </c>
      <c r="P48" s="25">
        <v>-158600</v>
      </c>
      <c r="Q48" s="25">
        <v>-491400</v>
      </c>
      <c r="X48" s="69"/>
      <c r="Y48" s="69"/>
      <c r="Z48" s="69"/>
      <c r="AA48" s="69"/>
      <c r="AF48" s="9"/>
      <c r="AG48" s="9"/>
      <c r="AH48" s="9"/>
      <c r="AI48" s="9"/>
      <c r="AJ48" s="9"/>
      <c r="AK48" s="9"/>
      <c r="AL48" s="9"/>
      <c r="AM48" s="9"/>
    </row>
    <row r="49" spans="1:39" x14ac:dyDescent="0.25">
      <c r="A49" s="25" t="s">
        <v>231</v>
      </c>
      <c r="B49" s="25" t="s">
        <v>137</v>
      </c>
      <c r="C49" s="25" t="s">
        <v>229</v>
      </c>
      <c r="D49" s="25" t="s">
        <v>121</v>
      </c>
      <c r="E49" s="25" t="s">
        <v>230</v>
      </c>
      <c r="F49" s="25" t="s">
        <v>231</v>
      </c>
      <c r="G49" s="25" t="s">
        <v>232</v>
      </c>
      <c r="H49" s="25" t="s">
        <v>233</v>
      </c>
      <c r="I49" s="25">
        <v>-10000</v>
      </c>
      <c r="Q49" s="25">
        <v>-10000</v>
      </c>
      <c r="X49" s="69"/>
      <c r="Y49" s="69"/>
      <c r="Z49" s="69"/>
      <c r="AA49" s="69"/>
      <c r="AF49" s="9"/>
      <c r="AG49" s="9"/>
      <c r="AH49" s="9"/>
      <c r="AI49" s="9"/>
      <c r="AJ49" s="9"/>
      <c r="AK49" s="9"/>
      <c r="AL49" s="9"/>
      <c r="AM49" s="9"/>
    </row>
    <row r="50" spans="1:39" ht="15.75" x14ac:dyDescent="0.25">
      <c r="A50" s="169" t="s">
        <v>81</v>
      </c>
      <c r="B50" s="169"/>
      <c r="C50" s="169"/>
      <c r="D50" s="169"/>
      <c r="E50" s="169"/>
      <c r="F50" s="169"/>
      <c r="G50" s="169"/>
      <c r="AF50" s="69"/>
      <c r="AG50" s="69"/>
      <c r="AH50" s="69"/>
      <c r="AI50" s="69"/>
    </row>
    <row r="52" spans="1:39" x14ac:dyDescent="0.25">
      <c r="A52" s="69" t="s">
        <v>44</v>
      </c>
      <c r="B52" s="69" t="s">
        <v>45</v>
      </c>
      <c r="C52" s="69" t="s">
        <v>13</v>
      </c>
      <c r="D52" s="69" t="s">
        <v>89</v>
      </c>
      <c r="E52" s="69" t="s">
        <v>90</v>
      </c>
      <c r="F52" s="69" t="s">
        <v>46</v>
      </c>
      <c r="G52" s="69" t="s">
        <v>91</v>
      </c>
      <c r="H52" s="69" t="s">
        <v>92</v>
      </c>
      <c r="I52" s="69" t="s">
        <v>10</v>
      </c>
      <c r="J52" s="69" t="s">
        <v>42</v>
      </c>
      <c r="K52" s="69" t="s">
        <v>177</v>
      </c>
      <c r="L52" s="69" t="s">
        <v>185</v>
      </c>
      <c r="M52" s="69" t="s">
        <v>4</v>
      </c>
      <c r="N52" s="69" t="s">
        <v>178</v>
      </c>
      <c r="O52" s="69" t="s">
        <v>5</v>
      </c>
      <c r="P52" s="69" t="s">
        <v>107</v>
      </c>
      <c r="Q52" s="69" t="s">
        <v>113</v>
      </c>
      <c r="R52" s="69" t="s">
        <v>179</v>
      </c>
      <c r="S52" s="69" t="s">
        <v>180</v>
      </c>
      <c r="T52" s="69" t="s">
        <v>181</v>
      </c>
      <c r="U52" s="69" t="s">
        <v>182</v>
      </c>
      <c r="V52" s="69" t="s">
        <v>183</v>
      </c>
      <c r="W52" s="69" t="s">
        <v>184</v>
      </c>
      <c r="X52" s="69"/>
      <c r="Y52" s="69"/>
      <c r="AH52" s="9"/>
      <c r="AI52" s="9"/>
      <c r="AJ52" s="9"/>
      <c r="AK52" s="9"/>
      <c r="AL52" s="9"/>
      <c r="AM52" s="9"/>
    </row>
    <row r="53" spans="1:39" x14ac:dyDescent="0.25">
      <c r="A53" s="31" t="s">
        <v>119</v>
      </c>
      <c r="B53" s="31" t="s">
        <v>95</v>
      </c>
      <c r="C53" s="31" t="s">
        <v>120</v>
      </c>
      <c r="D53" s="31" t="s">
        <v>121</v>
      </c>
      <c r="E53" s="31" t="s">
        <v>97</v>
      </c>
      <c r="F53" s="31" t="s">
        <v>122</v>
      </c>
      <c r="G53" s="31" t="s">
        <v>123</v>
      </c>
      <c r="H53" s="31" t="s">
        <v>124</v>
      </c>
      <c r="I53" s="31">
        <v>-600000</v>
      </c>
      <c r="J53" s="31"/>
      <c r="K53" s="31"/>
      <c r="L53" s="31"/>
      <c r="M53" s="31">
        <v>-600000</v>
      </c>
      <c r="N53" s="31"/>
      <c r="O53" s="31"/>
      <c r="P53" s="31"/>
      <c r="Q53" s="31"/>
      <c r="R53" s="31"/>
      <c r="S53" s="69"/>
      <c r="T53" s="69"/>
      <c r="U53" s="69"/>
      <c r="V53" s="69"/>
      <c r="W53" s="69"/>
      <c r="X53" s="113"/>
      <c r="Y53" s="69"/>
      <c r="AH53" s="9"/>
      <c r="AI53" s="9"/>
      <c r="AJ53" s="9"/>
      <c r="AK53" s="9"/>
      <c r="AL53" s="9"/>
      <c r="AM53" s="9"/>
    </row>
    <row r="54" spans="1:39" x14ac:dyDescent="0.25">
      <c r="A54" s="69" t="s">
        <v>119</v>
      </c>
      <c r="B54" s="69" t="s">
        <v>112</v>
      </c>
      <c r="C54" s="69" t="s">
        <v>125</v>
      </c>
      <c r="D54" s="69" t="s">
        <v>121</v>
      </c>
      <c r="E54" s="69" t="s">
        <v>97</v>
      </c>
      <c r="F54" s="69" t="s">
        <v>104</v>
      </c>
      <c r="G54" s="69" t="s">
        <v>126</v>
      </c>
      <c r="H54" s="69" t="s">
        <v>127</v>
      </c>
      <c r="I54" s="69">
        <v>-633000</v>
      </c>
      <c r="J54" s="69"/>
      <c r="K54" s="69"/>
      <c r="L54" s="69"/>
      <c r="M54" s="69"/>
      <c r="N54" s="69"/>
      <c r="O54" s="69"/>
      <c r="P54" s="69"/>
      <c r="Q54" s="69"/>
      <c r="R54" s="69">
        <v>-633000</v>
      </c>
      <c r="S54" s="69"/>
      <c r="T54" s="69"/>
      <c r="U54" s="69"/>
      <c r="V54" s="69"/>
      <c r="W54" s="69"/>
      <c r="X54" s="113"/>
      <c r="Y54" s="69"/>
      <c r="AH54" s="9"/>
      <c r="AI54" s="9"/>
      <c r="AJ54" s="9"/>
      <c r="AK54" s="9"/>
      <c r="AL54" s="9"/>
      <c r="AM54" s="9"/>
    </row>
    <row r="55" spans="1:39" x14ac:dyDescent="0.25">
      <c r="A55" s="69" t="s">
        <v>122</v>
      </c>
      <c r="B55" s="69" t="s">
        <v>96</v>
      </c>
      <c r="C55" s="69" t="s">
        <v>120</v>
      </c>
      <c r="D55" s="69" t="s">
        <v>97</v>
      </c>
      <c r="E55" s="69" t="s">
        <v>121</v>
      </c>
      <c r="F55" s="69" t="s">
        <v>122</v>
      </c>
      <c r="G55" s="69" t="s">
        <v>123</v>
      </c>
      <c r="H55" s="69" t="s">
        <v>128</v>
      </c>
      <c r="I55" s="69">
        <v>600000</v>
      </c>
      <c r="J55" s="69"/>
      <c r="K55" s="69"/>
      <c r="L55" s="69"/>
      <c r="M55" s="69">
        <v>600000</v>
      </c>
      <c r="N55" s="69"/>
      <c r="O55" s="69"/>
      <c r="P55" s="69"/>
      <c r="Q55" s="69"/>
      <c r="R55" s="69"/>
      <c r="S55" s="69"/>
      <c r="T55" s="69"/>
      <c r="U55" s="69"/>
      <c r="V55" s="69"/>
      <c r="W55" s="69"/>
      <c r="X55" s="113"/>
      <c r="Y55" s="69"/>
      <c r="AH55" s="9"/>
      <c r="AI55" s="9"/>
      <c r="AJ55" s="9"/>
      <c r="AK55" s="9"/>
      <c r="AL55" s="9"/>
      <c r="AM55" s="9"/>
    </row>
    <row r="56" spans="1:39" x14ac:dyDescent="0.25">
      <c r="A56" s="69" t="s">
        <v>122</v>
      </c>
      <c r="B56" s="69" t="s">
        <v>112</v>
      </c>
      <c r="C56" s="69" t="s">
        <v>129</v>
      </c>
      <c r="D56" s="69" t="s">
        <v>121</v>
      </c>
      <c r="E56" s="69" t="s">
        <v>97</v>
      </c>
      <c r="F56" s="69" t="s">
        <v>104</v>
      </c>
      <c r="G56" s="69" t="s">
        <v>126</v>
      </c>
      <c r="H56" s="69" t="s">
        <v>127</v>
      </c>
      <c r="I56" s="69">
        <v>-633000</v>
      </c>
      <c r="J56" s="69"/>
      <c r="K56" s="69"/>
      <c r="L56" s="69"/>
      <c r="M56" s="69"/>
      <c r="N56" s="69"/>
      <c r="O56" s="69"/>
      <c r="P56" s="69"/>
      <c r="Q56" s="69"/>
      <c r="R56" s="69">
        <v>-633000</v>
      </c>
      <c r="S56" s="69"/>
      <c r="T56" s="69"/>
      <c r="U56" s="69"/>
      <c r="V56" s="69"/>
      <c r="W56" s="69"/>
      <c r="X56" s="113"/>
      <c r="Y56" s="69"/>
      <c r="Z56" s="9"/>
      <c r="AA56" s="9"/>
      <c r="AB56" s="9"/>
      <c r="AC56" s="9"/>
      <c r="AD56" s="9"/>
      <c r="AE56" s="9"/>
      <c r="AF56" s="9"/>
      <c r="AG56" s="9"/>
      <c r="AH56" s="9"/>
      <c r="AI56" s="9"/>
      <c r="AJ56" s="9"/>
      <c r="AK56" s="9"/>
      <c r="AL56" s="9"/>
      <c r="AM56" s="9"/>
    </row>
    <row r="57" spans="1:39" x14ac:dyDescent="0.25">
      <c r="A57" s="69" t="s">
        <v>98</v>
      </c>
      <c r="B57" s="69" t="s">
        <v>103</v>
      </c>
      <c r="C57" s="69" t="s">
        <v>130</v>
      </c>
      <c r="D57" s="69" t="s">
        <v>121</v>
      </c>
      <c r="E57" s="69" t="s">
        <v>97</v>
      </c>
      <c r="F57" s="69" t="s">
        <v>104</v>
      </c>
      <c r="G57" s="69"/>
      <c r="H57" s="69" t="s">
        <v>131</v>
      </c>
      <c r="I57" s="69">
        <v>-0.92</v>
      </c>
      <c r="J57" s="69"/>
      <c r="K57" s="69"/>
      <c r="L57" s="69"/>
      <c r="M57" s="69">
        <v>0</v>
      </c>
      <c r="N57" s="69">
        <v>0</v>
      </c>
      <c r="O57" s="69">
        <v>0</v>
      </c>
      <c r="P57" s="69"/>
      <c r="Q57" s="69"/>
      <c r="R57" s="69">
        <v>0</v>
      </c>
      <c r="S57" s="69"/>
      <c r="T57" s="69"/>
      <c r="U57" s="69"/>
      <c r="V57" s="69"/>
      <c r="W57" s="69"/>
      <c r="X57" s="113"/>
      <c r="Y57" s="69"/>
      <c r="Z57" s="9"/>
      <c r="AA57" s="9"/>
      <c r="AB57" s="9"/>
      <c r="AC57" s="9"/>
      <c r="AD57" s="9"/>
      <c r="AE57" s="9"/>
      <c r="AF57" s="9"/>
      <c r="AG57" s="9"/>
      <c r="AH57" s="9"/>
      <c r="AI57" s="9"/>
      <c r="AJ57" s="9"/>
      <c r="AK57" s="9"/>
      <c r="AL57" s="9"/>
      <c r="AM57" s="9"/>
    </row>
    <row r="58" spans="1:39" x14ac:dyDescent="0.25">
      <c r="A58" s="69" t="s">
        <v>98</v>
      </c>
      <c r="B58" s="69" t="s">
        <v>132</v>
      </c>
      <c r="C58" s="69" t="s">
        <v>133</v>
      </c>
      <c r="D58" s="69" t="s">
        <v>134</v>
      </c>
      <c r="E58" s="69" t="s">
        <v>121</v>
      </c>
      <c r="F58" s="69" t="s">
        <v>101</v>
      </c>
      <c r="G58" s="69"/>
      <c r="H58" s="69" t="s">
        <v>135</v>
      </c>
      <c r="I58" s="69">
        <v>350000</v>
      </c>
      <c r="J58" s="69"/>
      <c r="K58" s="69"/>
      <c r="L58" s="69"/>
      <c r="M58" s="69">
        <v>350000</v>
      </c>
      <c r="N58" s="69"/>
      <c r="O58" s="69"/>
      <c r="P58" s="69"/>
      <c r="Q58" s="69"/>
      <c r="R58" s="69"/>
      <c r="S58" s="69"/>
      <c r="T58" s="69"/>
      <c r="U58" s="69"/>
      <c r="V58" s="69"/>
      <c r="W58" s="69"/>
      <c r="X58" s="113"/>
      <c r="Y58" s="69"/>
      <c r="Z58" s="9"/>
      <c r="AA58" s="9"/>
      <c r="AB58" s="9"/>
      <c r="AC58" s="9"/>
      <c r="AD58" s="9"/>
      <c r="AE58" s="9"/>
      <c r="AF58" s="9"/>
      <c r="AG58" s="9"/>
      <c r="AH58" s="9"/>
      <c r="AI58" s="9"/>
      <c r="AJ58" s="9"/>
      <c r="AK58" s="9"/>
      <c r="AL58" s="9"/>
      <c r="AM58" s="9"/>
    </row>
    <row r="59" spans="1:39" x14ac:dyDescent="0.25">
      <c r="A59" s="86" t="s">
        <v>98</v>
      </c>
      <c r="B59" s="86" t="s">
        <v>112</v>
      </c>
      <c r="C59" s="86" t="s">
        <v>136</v>
      </c>
      <c r="D59" s="86" t="s">
        <v>121</v>
      </c>
      <c r="E59" s="86" t="s">
        <v>97</v>
      </c>
      <c r="F59" s="86" t="s">
        <v>104</v>
      </c>
      <c r="G59" s="86" t="s">
        <v>126</v>
      </c>
      <c r="H59" s="86" t="s">
        <v>127</v>
      </c>
      <c r="I59" s="86">
        <v>-633000</v>
      </c>
      <c r="J59" s="86"/>
      <c r="K59" s="86"/>
      <c r="L59" s="86"/>
      <c r="M59" s="86"/>
      <c r="N59" s="86"/>
      <c r="O59" s="86"/>
      <c r="P59" s="86"/>
      <c r="Q59" s="86"/>
      <c r="R59" s="86">
        <v>-633000</v>
      </c>
      <c r="S59" s="86"/>
      <c r="T59" s="86"/>
      <c r="U59" s="86"/>
      <c r="V59" s="86"/>
      <c r="W59" s="86"/>
      <c r="X59" s="114"/>
      <c r="Y59" s="86"/>
      <c r="Z59" s="9"/>
      <c r="AA59" s="9"/>
      <c r="AB59" s="9"/>
      <c r="AC59" s="9"/>
      <c r="AD59" s="9"/>
      <c r="AE59" s="9"/>
      <c r="AF59" s="9"/>
      <c r="AG59" s="9"/>
      <c r="AH59" s="9"/>
      <c r="AI59" s="9"/>
      <c r="AJ59" s="9"/>
      <c r="AK59" s="9"/>
      <c r="AL59" s="9"/>
      <c r="AM59" s="9"/>
    </row>
    <row r="60" spans="1:39" x14ac:dyDescent="0.25">
      <c r="A60" s="99" t="s">
        <v>101</v>
      </c>
      <c r="B60" s="99" t="s">
        <v>137</v>
      </c>
      <c r="C60" s="99" t="s">
        <v>133</v>
      </c>
      <c r="D60" s="99" t="s">
        <v>121</v>
      </c>
      <c r="E60" s="99" t="s">
        <v>134</v>
      </c>
      <c r="F60" s="99" t="s">
        <v>101</v>
      </c>
      <c r="G60" s="99"/>
      <c r="H60" s="99" t="s">
        <v>138</v>
      </c>
      <c r="I60" s="99">
        <v>-350000</v>
      </c>
      <c r="J60" s="99"/>
      <c r="K60" s="99"/>
      <c r="L60" s="99"/>
      <c r="M60" s="99">
        <v>-350000</v>
      </c>
      <c r="N60" s="99"/>
      <c r="O60" s="99"/>
      <c r="P60" s="99"/>
      <c r="Q60" s="99"/>
      <c r="R60" s="99"/>
      <c r="S60" s="99"/>
      <c r="T60" s="99"/>
      <c r="U60" s="99"/>
      <c r="V60" s="99"/>
      <c r="W60" s="99"/>
      <c r="X60" s="114"/>
      <c r="Y60" s="99"/>
      <c r="Z60" s="9"/>
      <c r="AA60" s="9"/>
      <c r="AB60" s="9"/>
      <c r="AC60" s="9"/>
      <c r="AD60" s="9"/>
      <c r="AE60" s="9"/>
      <c r="AF60" s="9"/>
      <c r="AG60" s="9"/>
      <c r="AH60" s="9"/>
      <c r="AI60" s="9"/>
      <c r="AJ60" s="9"/>
      <c r="AK60" s="9"/>
      <c r="AL60" s="9"/>
      <c r="AM60" s="9"/>
    </row>
    <row r="61" spans="1:39" x14ac:dyDescent="0.25">
      <c r="A61" s="99" t="s">
        <v>101</v>
      </c>
      <c r="B61" s="99" t="s">
        <v>112</v>
      </c>
      <c r="C61" s="99" t="s">
        <v>139</v>
      </c>
      <c r="D61" s="99" t="s">
        <v>121</v>
      </c>
      <c r="E61" s="99" t="s">
        <v>97</v>
      </c>
      <c r="F61" s="99" t="s">
        <v>104</v>
      </c>
      <c r="G61" s="99" t="s">
        <v>126</v>
      </c>
      <c r="H61" s="99" t="s">
        <v>140</v>
      </c>
      <c r="I61" s="99">
        <v>-633000</v>
      </c>
      <c r="J61" s="99"/>
      <c r="K61" s="99"/>
      <c r="L61" s="99"/>
      <c r="M61" s="99"/>
      <c r="N61" s="99"/>
      <c r="O61" s="99"/>
      <c r="P61" s="99"/>
      <c r="Q61" s="99"/>
      <c r="R61" s="99">
        <v>-633000</v>
      </c>
      <c r="S61" s="99"/>
      <c r="T61" s="99"/>
      <c r="U61" s="99"/>
      <c r="V61" s="99"/>
      <c r="W61" s="99"/>
      <c r="X61" s="114"/>
      <c r="Y61" s="99"/>
      <c r="Z61" s="9"/>
      <c r="AA61" s="9"/>
      <c r="AB61" s="9"/>
      <c r="AC61" s="9"/>
      <c r="AD61" s="9"/>
      <c r="AE61" s="9"/>
      <c r="AF61" s="9"/>
      <c r="AG61" s="9"/>
      <c r="AH61" s="9"/>
      <c r="AI61" s="9"/>
      <c r="AJ61" s="9"/>
      <c r="AK61" s="9"/>
      <c r="AL61" s="9"/>
      <c r="AM61" s="9"/>
    </row>
    <row r="62" spans="1:39" x14ac:dyDescent="0.25">
      <c r="A62" s="104" t="s">
        <v>100</v>
      </c>
      <c r="B62" s="104" t="s">
        <v>132</v>
      </c>
      <c r="C62" s="104" t="s">
        <v>141</v>
      </c>
      <c r="D62" s="104" t="s">
        <v>116</v>
      </c>
      <c r="E62" s="104" t="s">
        <v>121</v>
      </c>
      <c r="F62" s="104" t="s">
        <v>105</v>
      </c>
      <c r="G62" s="104"/>
      <c r="H62" s="104" t="s">
        <v>142</v>
      </c>
      <c r="I62" s="104">
        <v>137000</v>
      </c>
      <c r="J62" s="104"/>
      <c r="K62" s="104"/>
      <c r="L62" s="104"/>
      <c r="M62" s="104">
        <v>137000</v>
      </c>
      <c r="N62" s="104"/>
      <c r="O62" s="104"/>
      <c r="P62" s="104"/>
      <c r="Q62" s="104"/>
      <c r="R62" s="104"/>
      <c r="S62" s="104"/>
      <c r="T62" s="104"/>
      <c r="U62" s="104"/>
      <c r="V62" s="104"/>
      <c r="W62" s="104"/>
      <c r="X62" s="114"/>
      <c r="Y62" s="104"/>
      <c r="Z62" s="9"/>
      <c r="AA62" s="9"/>
      <c r="AB62" s="9"/>
      <c r="AC62" s="9"/>
      <c r="AD62" s="9"/>
      <c r="AE62" s="9"/>
      <c r="AF62" s="9"/>
      <c r="AG62" s="9"/>
      <c r="AH62" s="9"/>
      <c r="AI62" s="9"/>
      <c r="AJ62" s="9"/>
      <c r="AK62" s="9"/>
      <c r="AL62" s="9"/>
      <c r="AM62" s="9"/>
    </row>
    <row r="63" spans="1:39" x14ac:dyDescent="0.25">
      <c r="A63" s="104" t="s">
        <v>100</v>
      </c>
      <c r="B63" s="104" t="s">
        <v>95</v>
      </c>
      <c r="C63" s="104" t="s">
        <v>143</v>
      </c>
      <c r="D63" s="104" t="s">
        <v>121</v>
      </c>
      <c r="E63" s="104" t="s">
        <v>97</v>
      </c>
      <c r="F63" s="104" t="s">
        <v>105</v>
      </c>
      <c r="G63" s="104" t="s">
        <v>144</v>
      </c>
      <c r="H63" s="104" t="s">
        <v>145</v>
      </c>
      <c r="I63" s="104">
        <v>-70000</v>
      </c>
      <c r="J63" s="104"/>
      <c r="K63" s="104"/>
      <c r="L63" s="104"/>
      <c r="M63" s="104"/>
      <c r="N63" s="104"/>
      <c r="O63" s="104"/>
      <c r="P63" s="104"/>
      <c r="Q63" s="104"/>
      <c r="R63" s="104">
        <v>-70000</v>
      </c>
      <c r="S63" s="104"/>
      <c r="T63" s="104"/>
      <c r="U63" s="104"/>
      <c r="V63" s="104"/>
      <c r="W63" s="104"/>
      <c r="X63" s="114"/>
      <c r="Y63" s="104"/>
      <c r="Z63" s="9"/>
      <c r="AA63" s="9"/>
      <c r="AB63" s="9"/>
      <c r="AC63" s="9"/>
      <c r="AD63" s="9"/>
      <c r="AE63" s="9"/>
      <c r="AF63" s="9"/>
      <c r="AG63" s="9"/>
      <c r="AH63" s="9"/>
      <c r="AI63" s="9"/>
      <c r="AJ63" s="9"/>
      <c r="AK63" s="9"/>
      <c r="AL63" s="9"/>
      <c r="AM63" s="9"/>
    </row>
    <row r="64" spans="1:39" x14ac:dyDescent="0.25">
      <c r="A64" s="25" t="s">
        <v>100</v>
      </c>
      <c r="B64" s="25" t="s">
        <v>95</v>
      </c>
      <c r="C64" s="25" t="s">
        <v>146</v>
      </c>
      <c r="D64" s="25" t="s">
        <v>121</v>
      </c>
      <c r="E64" s="25" t="s">
        <v>97</v>
      </c>
      <c r="F64" s="25" t="s">
        <v>105</v>
      </c>
      <c r="H64" s="25" t="s">
        <v>147</v>
      </c>
      <c r="I64" s="25">
        <v>-25090.12</v>
      </c>
      <c r="N64" s="25">
        <v>-25090.12</v>
      </c>
      <c r="X64" s="114"/>
      <c r="AD64" s="9"/>
      <c r="AE64" s="9"/>
      <c r="AF64" s="9"/>
      <c r="AG64" s="9"/>
      <c r="AH64" s="9"/>
      <c r="AI64" s="9"/>
      <c r="AJ64" s="9"/>
      <c r="AK64" s="9"/>
      <c r="AL64" s="9"/>
      <c r="AM64" s="9"/>
    </row>
    <row r="65" spans="1:39" x14ac:dyDescent="0.25">
      <c r="A65" s="25" t="s">
        <v>100</v>
      </c>
      <c r="B65" s="25" t="s">
        <v>95</v>
      </c>
      <c r="C65" s="25" t="s">
        <v>146</v>
      </c>
      <c r="D65" s="25" t="s">
        <v>121</v>
      </c>
      <c r="E65" s="25" t="s">
        <v>97</v>
      </c>
      <c r="F65" s="25" t="s">
        <v>105</v>
      </c>
      <c r="H65" s="25" t="s">
        <v>145</v>
      </c>
      <c r="I65" s="25">
        <v>-31935.71</v>
      </c>
      <c r="R65" s="25">
        <v>-31935.71</v>
      </c>
      <c r="X65" s="114"/>
      <c r="AD65" s="9"/>
      <c r="AE65" s="9"/>
      <c r="AF65" s="9"/>
      <c r="AG65" s="9"/>
      <c r="AH65" s="9"/>
      <c r="AI65" s="9"/>
      <c r="AJ65" s="9"/>
      <c r="AK65" s="9"/>
      <c r="AL65" s="9"/>
      <c r="AM65" s="9"/>
    </row>
    <row r="66" spans="1:39" x14ac:dyDescent="0.25">
      <c r="A66" s="114" t="s">
        <v>100</v>
      </c>
      <c r="B66" s="114" t="s">
        <v>95</v>
      </c>
      <c r="C66" s="114" t="s">
        <v>148</v>
      </c>
      <c r="D66" s="114" t="s">
        <v>121</v>
      </c>
      <c r="E66" s="114" t="s">
        <v>97</v>
      </c>
      <c r="F66" s="114" t="s">
        <v>105</v>
      </c>
      <c r="G66" s="114"/>
      <c r="H66" s="114" t="s">
        <v>149</v>
      </c>
      <c r="I66" s="114">
        <v>-593000</v>
      </c>
      <c r="J66" s="114"/>
      <c r="K66" s="114"/>
      <c r="L66" s="114"/>
      <c r="M66" s="114">
        <v>-593000</v>
      </c>
      <c r="N66" s="114"/>
      <c r="O66" s="114"/>
      <c r="P66" s="114"/>
      <c r="Q66" s="114"/>
      <c r="R66" s="114"/>
      <c r="S66" s="114"/>
      <c r="T66" s="114"/>
      <c r="U66" s="114"/>
      <c r="V66" s="114"/>
      <c r="W66" s="114"/>
      <c r="X66" s="114"/>
      <c r="AD66" s="9"/>
      <c r="AE66" s="9"/>
      <c r="AF66" s="9"/>
      <c r="AG66" s="9"/>
      <c r="AH66" s="9"/>
      <c r="AI66" s="9"/>
      <c r="AJ66" s="9"/>
      <c r="AK66" s="9"/>
      <c r="AL66" s="9"/>
      <c r="AM66" s="9"/>
    </row>
    <row r="67" spans="1:39" x14ac:dyDescent="0.25">
      <c r="A67" s="114" t="s">
        <v>100</v>
      </c>
      <c r="B67" s="114" t="s">
        <v>112</v>
      </c>
      <c r="C67" s="114" t="s">
        <v>150</v>
      </c>
      <c r="D67" s="114" t="s">
        <v>121</v>
      </c>
      <c r="E67" s="114" t="s">
        <v>97</v>
      </c>
      <c r="F67" s="114" t="s">
        <v>104</v>
      </c>
      <c r="G67" s="114" t="s">
        <v>151</v>
      </c>
      <c r="H67" s="114" t="s">
        <v>152</v>
      </c>
      <c r="I67" s="114">
        <v>-150000</v>
      </c>
      <c r="J67" s="114"/>
      <c r="K67" s="114"/>
      <c r="L67" s="114"/>
      <c r="M67" s="114"/>
      <c r="N67" s="114"/>
      <c r="O67" s="114"/>
      <c r="P67" s="114"/>
      <c r="Q67" s="114"/>
      <c r="R67" s="114">
        <v>-150000</v>
      </c>
      <c r="S67" s="114"/>
      <c r="T67" s="114"/>
      <c r="U67" s="114"/>
      <c r="V67" s="114"/>
      <c r="W67" s="114"/>
      <c r="X67" s="69"/>
      <c r="Y67" s="69"/>
      <c r="AD67" s="9"/>
      <c r="AE67" s="9"/>
      <c r="AF67" s="9"/>
      <c r="AG67" s="9"/>
      <c r="AH67" s="9"/>
      <c r="AI67" s="9"/>
      <c r="AJ67" s="9"/>
      <c r="AK67" s="9"/>
      <c r="AL67" s="9"/>
      <c r="AM67" s="9"/>
    </row>
    <row r="68" spans="1:39" x14ac:dyDescent="0.25">
      <c r="A68" s="114" t="s">
        <v>105</v>
      </c>
      <c r="B68" s="114" t="s">
        <v>132</v>
      </c>
      <c r="C68" s="114" t="s">
        <v>153</v>
      </c>
      <c r="D68" s="114" t="s">
        <v>134</v>
      </c>
      <c r="E68" s="114" t="s">
        <v>121</v>
      </c>
      <c r="F68" s="114" t="s">
        <v>99</v>
      </c>
      <c r="G68" s="114" t="s">
        <v>154</v>
      </c>
      <c r="H68" s="114" t="s">
        <v>155</v>
      </c>
      <c r="I68" s="114">
        <v>650000</v>
      </c>
      <c r="J68" s="114"/>
      <c r="K68" s="114"/>
      <c r="L68" s="114"/>
      <c r="M68" s="114"/>
      <c r="N68" s="114"/>
      <c r="O68" s="114"/>
      <c r="P68" s="114"/>
      <c r="Q68" s="114"/>
      <c r="R68" s="114">
        <v>650000</v>
      </c>
      <c r="S68" s="114"/>
      <c r="T68" s="114"/>
      <c r="U68" s="114"/>
      <c r="V68" s="114"/>
      <c r="W68" s="114"/>
      <c r="AD68" s="9"/>
      <c r="AE68" s="9"/>
      <c r="AF68" s="9"/>
      <c r="AG68" s="9"/>
      <c r="AH68" s="9"/>
      <c r="AI68" s="9"/>
      <c r="AJ68" s="9"/>
      <c r="AK68" s="9"/>
      <c r="AL68" s="9"/>
      <c r="AM68" s="9"/>
    </row>
    <row r="69" spans="1:39" x14ac:dyDescent="0.25">
      <c r="A69" s="114" t="s">
        <v>105</v>
      </c>
      <c r="B69" s="114" t="s">
        <v>95</v>
      </c>
      <c r="C69" s="114" t="s">
        <v>156</v>
      </c>
      <c r="D69" s="114" t="s">
        <v>121</v>
      </c>
      <c r="E69" s="114" t="s">
        <v>97</v>
      </c>
      <c r="F69" s="114" t="s">
        <v>106</v>
      </c>
      <c r="G69" s="114" t="s">
        <v>157</v>
      </c>
      <c r="H69" s="114" t="s">
        <v>147</v>
      </c>
      <c r="I69" s="114">
        <v>-25000</v>
      </c>
      <c r="J69" s="114"/>
      <c r="K69" s="114"/>
      <c r="L69" s="114"/>
      <c r="M69" s="114"/>
      <c r="N69" s="114">
        <v>-25000</v>
      </c>
      <c r="O69" s="114"/>
      <c r="P69" s="114"/>
      <c r="Q69" s="114"/>
      <c r="R69" s="114"/>
      <c r="S69" s="114"/>
      <c r="T69" s="114"/>
      <c r="U69" s="114"/>
      <c r="V69" s="114"/>
      <c r="W69" s="114"/>
      <c r="AD69" s="9"/>
      <c r="AE69" s="9"/>
      <c r="AF69" s="9"/>
      <c r="AG69" s="9"/>
      <c r="AH69" s="9"/>
      <c r="AI69" s="9"/>
      <c r="AJ69" s="9"/>
      <c r="AK69" s="9"/>
      <c r="AL69" s="9"/>
      <c r="AM69" s="9"/>
    </row>
    <row r="70" spans="1:39" x14ac:dyDescent="0.25">
      <c r="A70" s="114" t="s">
        <v>105</v>
      </c>
      <c r="B70" s="114" t="s">
        <v>95</v>
      </c>
      <c r="C70" s="114" t="s">
        <v>156</v>
      </c>
      <c r="D70" s="114" t="s">
        <v>121</v>
      </c>
      <c r="E70" s="114" t="s">
        <v>97</v>
      </c>
      <c r="F70" s="114" t="s">
        <v>106</v>
      </c>
      <c r="G70" s="114" t="s">
        <v>157</v>
      </c>
      <c r="H70" s="114" t="s">
        <v>158</v>
      </c>
      <c r="I70" s="114">
        <v>-25000</v>
      </c>
      <c r="J70" s="114"/>
      <c r="K70" s="114"/>
      <c r="L70" s="114"/>
      <c r="M70" s="114"/>
      <c r="N70" s="114"/>
      <c r="O70" s="114">
        <v>-25000</v>
      </c>
      <c r="P70" s="114"/>
      <c r="Q70" s="114"/>
      <c r="R70" s="114"/>
      <c r="S70" s="114"/>
      <c r="T70" s="114"/>
      <c r="U70" s="114"/>
      <c r="V70" s="114"/>
      <c r="W70" s="114"/>
      <c r="AD70" s="9"/>
      <c r="AE70" s="9"/>
      <c r="AF70" s="9"/>
      <c r="AG70" s="9"/>
      <c r="AH70" s="9"/>
      <c r="AI70" s="9"/>
      <c r="AJ70" s="9"/>
      <c r="AK70" s="9"/>
      <c r="AL70" s="9"/>
      <c r="AM70" s="9"/>
    </row>
    <row r="71" spans="1:39" x14ac:dyDescent="0.25">
      <c r="A71" s="114" t="s">
        <v>105</v>
      </c>
      <c r="B71" s="114" t="s">
        <v>95</v>
      </c>
      <c r="C71" s="114" t="s">
        <v>159</v>
      </c>
      <c r="D71" s="114" t="s">
        <v>121</v>
      </c>
      <c r="E71" s="114" t="s">
        <v>97</v>
      </c>
      <c r="F71" s="114" t="s">
        <v>106</v>
      </c>
      <c r="G71" s="114" t="s">
        <v>160</v>
      </c>
      <c r="H71" s="114" t="s">
        <v>145</v>
      </c>
      <c r="I71" s="114">
        <v>-34000</v>
      </c>
      <c r="J71" s="114"/>
      <c r="K71" s="114"/>
      <c r="L71" s="114"/>
      <c r="M71" s="114"/>
      <c r="N71" s="114"/>
      <c r="O71" s="114"/>
      <c r="P71" s="114"/>
      <c r="Q71" s="114"/>
      <c r="R71" s="114">
        <v>-34000</v>
      </c>
      <c r="S71" s="114"/>
      <c r="T71" s="114"/>
      <c r="U71" s="114"/>
      <c r="V71" s="114"/>
      <c r="W71" s="114"/>
      <c r="AD71" s="9"/>
      <c r="AE71" s="9"/>
      <c r="AF71" s="9"/>
      <c r="AG71" s="9"/>
      <c r="AH71" s="9"/>
      <c r="AI71" s="9"/>
      <c r="AJ71" s="9"/>
      <c r="AK71" s="9"/>
      <c r="AL71" s="9"/>
      <c r="AM71" s="9"/>
    </row>
    <row r="72" spans="1:39" x14ac:dyDescent="0.25">
      <c r="A72" s="114" t="s">
        <v>105</v>
      </c>
      <c r="B72" s="114" t="s">
        <v>95</v>
      </c>
      <c r="C72" s="114" t="s">
        <v>159</v>
      </c>
      <c r="D72" s="114" t="s">
        <v>121</v>
      </c>
      <c r="E72" s="114" t="s">
        <v>97</v>
      </c>
      <c r="F72" s="114" t="s">
        <v>106</v>
      </c>
      <c r="G72" s="114" t="s">
        <v>161</v>
      </c>
      <c r="H72" s="114" t="s">
        <v>145</v>
      </c>
      <c r="I72" s="114">
        <v>-274788.05</v>
      </c>
      <c r="J72" s="114"/>
      <c r="K72" s="114"/>
      <c r="L72" s="114"/>
      <c r="M72" s="114">
        <v>-274788.05</v>
      </c>
      <c r="N72" s="114"/>
      <c r="O72" s="114"/>
      <c r="P72" s="114"/>
      <c r="Q72" s="114"/>
      <c r="R72" s="114"/>
      <c r="S72" s="114"/>
      <c r="T72" s="114"/>
      <c r="U72" s="114"/>
      <c r="V72" s="114"/>
      <c r="W72" s="114"/>
      <c r="AD72" s="9"/>
      <c r="AE72" s="9"/>
      <c r="AF72" s="9"/>
      <c r="AG72" s="9"/>
      <c r="AH72" s="9"/>
      <c r="AI72" s="9"/>
      <c r="AJ72" s="9"/>
      <c r="AK72" s="9"/>
      <c r="AL72" s="9"/>
      <c r="AM72" s="9"/>
    </row>
    <row r="73" spans="1:39" x14ac:dyDescent="0.25">
      <c r="A73" s="114" t="s">
        <v>105</v>
      </c>
      <c r="B73" s="114" t="s">
        <v>95</v>
      </c>
      <c r="C73" s="114" t="s">
        <v>162</v>
      </c>
      <c r="D73" s="114" t="s">
        <v>121</v>
      </c>
      <c r="E73" s="114" t="s">
        <v>97</v>
      </c>
      <c r="F73" s="114" t="s">
        <v>106</v>
      </c>
      <c r="G73" s="114" t="s">
        <v>163</v>
      </c>
      <c r="H73" s="114" t="s">
        <v>145</v>
      </c>
      <c r="I73" s="114">
        <v>-570835.57999999996</v>
      </c>
      <c r="J73" s="114"/>
      <c r="K73" s="114"/>
      <c r="L73" s="114"/>
      <c r="M73" s="114"/>
      <c r="N73" s="114"/>
      <c r="O73" s="114"/>
      <c r="P73" s="114"/>
      <c r="Q73" s="114"/>
      <c r="R73" s="114">
        <v>-570835.57999999996</v>
      </c>
      <c r="S73" s="114"/>
      <c r="T73" s="114"/>
      <c r="U73" s="114"/>
      <c r="V73" s="114"/>
      <c r="W73" s="114"/>
      <c r="AD73" s="9"/>
      <c r="AE73" s="9"/>
      <c r="AF73" s="9"/>
      <c r="AG73" s="9"/>
      <c r="AH73" s="9"/>
      <c r="AI73" s="9"/>
      <c r="AJ73" s="9"/>
      <c r="AK73" s="9"/>
      <c r="AL73" s="9"/>
      <c r="AM73" s="9"/>
    </row>
    <row r="74" spans="1:39" x14ac:dyDescent="0.25">
      <c r="A74" s="114" t="s">
        <v>105</v>
      </c>
      <c r="B74" s="114" t="s">
        <v>96</v>
      </c>
      <c r="C74" s="114" t="s">
        <v>143</v>
      </c>
      <c r="D74" s="114" t="s">
        <v>97</v>
      </c>
      <c r="E74" s="114" t="s">
        <v>121</v>
      </c>
      <c r="F74" s="114" t="s">
        <v>105</v>
      </c>
      <c r="G74" s="114" t="s">
        <v>144</v>
      </c>
      <c r="H74" s="114" t="s">
        <v>145</v>
      </c>
      <c r="I74" s="114">
        <v>70000</v>
      </c>
      <c r="J74" s="114"/>
      <c r="K74" s="114"/>
      <c r="L74" s="114"/>
      <c r="M74" s="114"/>
      <c r="N74" s="114"/>
      <c r="O74" s="114"/>
      <c r="P74" s="114"/>
      <c r="Q74" s="114"/>
      <c r="R74" s="114">
        <v>70000</v>
      </c>
      <c r="S74" s="114"/>
      <c r="T74" s="114"/>
      <c r="U74" s="114"/>
      <c r="V74" s="114"/>
      <c r="W74" s="114"/>
      <c r="AD74" s="9"/>
      <c r="AE74" s="9"/>
      <c r="AF74" s="9"/>
      <c r="AG74" s="9"/>
      <c r="AH74" s="9"/>
      <c r="AI74" s="9"/>
      <c r="AJ74" s="9"/>
      <c r="AK74" s="9"/>
      <c r="AL74" s="9"/>
      <c r="AM74" s="9"/>
    </row>
    <row r="75" spans="1:39" x14ac:dyDescent="0.25">
      <c r="A75" s="114" t="s">
        <v>105</v>
      </c>
      <c r="B75" s="114" t="s">
        <v>96</v>
      </c>
      <c r="C75" s="114" t="s">
        <v>146</v>
      </c>
      <c r="D75" s="114" t="s">
        <v>97</v>
      </c>
      <c r="E75" s="114" t="s">
        <v>121</v>
      </c>
      <c r="F75" s="114" t="s">
        <v>105</v>
      </c>
      <c r="G75" s="114"/>
      <c r="H75" s="114" t="s">
        <v>147</v>
      </c>
      <c r="I75" s="114">
        <v>25090.12</v>
      </c>
      <c r="J75" s="114"/>
      <c r="K75" s="114"/>
      <c r="L75" s="114"/>
      <c r="M75" s="114"/>
      <c r="N75" s="114">
        <v>25090.12</v>
      </c>
      <c r="O75" s="114"/>
      <c r="P75" s="114"/>
      <c r="Q75" s="114"/>
      <c r="R75" s="114"/>
      <c r="S75" s="114"/>
      <c r="T75" s="114"/>
      <c r="U75" s="114"/>
      <c r="V75" s="114"/>
      <c r="W75" s="114"/>
      <c r="AD75" s="9"/>
      <c r="AE75" s="9"/>
      <c r="AF75" s="9"/>
      <c r="AG75" s="9"/>
      <c r="AH75" s="9"/>
      <c r="AI75" s="9"/>
      <c r="AJ75" s="9"/>
      <c r="AK75" s="9"/>
      <c r="AL75" s="9"/>
      <c r="AM75" s="9"/>
    </row>
    <row r="76" spans="1:39" x14ac:dyDescent="0.25">
      <c r="A76" s="114" t="s">
        <v>105</v>
      </c>
      <c r="B76" s="114" t="s">
        <v>96</v>
      </c>
      <c r="C76" s="114" t="s">
        <v>146</v>
      </c>
      <c r="D76" s="114" t="s">
        <v>97</v>
      </c>
      <c r="E76" s="114" t="s">
        <v>121</v>
      </c>
      <c r="F76" s="114" t="s">
        <v>105</v>
      </c>
      <c r="G76" s="114"/>
      <c r="H76" s="114" t="s">
        <v>145</v>
      </c>
      <c r="I76" s="114">
        <v>31935.71</v>
      </c>
      <c r="J76" s="114"/>
      <c r="K76" s="114"/>
      <c r="L76" s="114"/>
      <c r="M76" s="114"/>
      <c r="N76" s="114"/>
      <c r="O76" s="114"/>
      <c r="P76" s="114"/>
      <c r="Q76" s="114"/>
      <c r="R76" s="114">
        <v>31935.71</v>
      </c>
      <c r="S76" s="114"/>
      <c r="T76" s="114"/>
      <c r="U76" s="114"/>
      <c r="V76" s="114"/>
      <c r="W76" s="114"/>
      <c r="AH76" s="9"/>
      <c r="AI76" s="9"/>
      <c r="AJ76" s="9"/>
      <c r="AK76" s="9"/>
      <c r="AL76" s="9"/>
      <c r="AM76" s="9"/>
    </row>
    <row r="77" spans="1:39" x14ac:dyDescent="0.25">
      <c r="A77" s="25" t="s">
        <v>105</v>
      </c>
      <c r="B77" s="25" t="s">
        <v>96</v>
      </c>
      <c r="C77" s="25" t="s">
        <v>148</v>
      </c>
      <c r="D77" s="25" t="s">
        <v>97</v>
      </c>
      <c r="E77" s="25" t="s">
        <v>121</v>
      </c>
      <c r="F77" s="25" t="s">
        <v>105</v>
      </c>
      <c r="H77" s="25" t="s">
        <v>149</v>
      </c>
      <c r="I77" s="25">
        <v>593000</v>
      </c>
      <c r="M77" s="25">
        <v>593000</v>
      </c>
      <c r="AH77" s="9"/>
      <c r="AI77" s="9"/>
      <c r="AJ77" s="9"/>
      <c r="AK77" s="9"/>
      <c r="AL77" s="9"/>
      <c r="AM77" s="9"/>
    </row>
    <row r="78" spans="1:39" x14ac:dyDescent="0.25">
      <c r="A78" s="25" t="s">
        <v>105</v>
      </c>
      <c r="B78" s="25" t="s">
        <v>137</v>
      </c>
      <c r="C78" s="25" t="s">
        <v>141</v>
      </c>
      <c r="D78" s="25" t="s">
        <v>121</v>
      </c>
      <c r="E78" s="25" t="s">
        <v>116</v>
      </c>
      <c r="F78" s="25" t="s">
        <v>105</v>
      </c>
      <c r="H78" s="25" t="s">
        <v>142</v>
      </c>
      <c r="I78" s="25">
        <v>-137000</v>
      </c>
      <c r="M78" s="25">
        <v>-137000</v>
      </c>
      <c r="AH78" s="9"/>
      <c r="AI78" s="9"/>
      <c r="AJ78" s="9"/>
      <c r="AK78" s="9"/>
      <c r="AL78" s="9"/>
      <c r="AM78" s="9"/>
    </row>
    <row r="79" spans="1:39" x14ac:dyDescent="0.25">
      <c r="A79" s="25" t="s">
        <v>105</v>
      </c>
      <c r="B79" s="25" t="s">
        <v>112</v>
      </c>
      <c r="C79" s="25" t="s">
        <v>164</v>
      </c>
      <c r="D79" s="25" t="s">
        <v>121</v>
      </c>
      <c r="E79" s="25" t="s">
        <v>97</v>
      </c>
      <c r="F79" s="25" t="s">
        <v>104</v>
      </c>
      <c r="G79" s="25" t="s">
        <v>165</v>
      </c>
      <c r="H79" s="25" t="s">
        <v>166</v>
      </c>
      <c r="I79" s="25">
        <v>-230000</v>
      </c>
      <c r="M79" s="25">
        <v>-230000</v>
      </c>
      <c r="AH79" s="9"/>
      <c r="AI79" s="9"/>
      <c r="AJ79" s="9"/>
      <c r="AK79" s="9"/>
      <c r="AL79" s="9"/>
      <c r="AM79" s="9"/>
    </row>
    <row r="80" spans="1:39" x14ac:dyDescent="0.25">
      <c r="A80" s="25" t="s">
        <v>105</v>
      </c>
      <c r="B80" s="25" t="s">
        <v>112</v>
      </c>
      <c r="C80" s="25" t="s">
        <v>167</v>
      </c>
      <c r="D80" s="25" t="s">
        <v>121</v>
      </c>
      <c r="E80" s="25" t="s">
        <v>97</v>
      </c>
      <c r="F80" s="25" t="s">
        <v>104</v>
      </c>
      <c r="G80" s="25" t="s">
        <v>163</v>
      </c>
      <c r="H80" s="25" t="s">
        <v>152</v>
      </c>
      <c r="I80" s="25">
        <v>-50000</v>
      </c>
      <c r="R80" s="25">
        <v>-50000</v>
      </c>
      <c r="AH80" s="9"/>
      <c r="AI80" s="9"/>
      <c r="AJ80" s="9"/>
      <c r="AK80" s="9"/>
      <c r="AL80" s="9"/>
      <c r="AM80" s="9"/>
    </row>
    <row r="81" spans="1:39" x14ac:dyDescent="0.25">
      <c r="A81" s="25" t="s">
        <v>105</v>
      </c>
      <c r="B81" s="25" t="s">
        <v>112</v>
      </c>
      <c r="C81" s="25" t="s">
        <v>168</v>
      </c>
      <c r="D81" s="25" t="s">
        <v>121</v>
      </c>
      <c r="E81" s="25" t="s">
        <v>134</v>
      </c>
      <c r="F81" s="25" t="s">
        <v>104</v>
      </c>
      <c r="G81" s="25" t="s">
        <v>117</v>
      </c>
      <c r="H81" s="25" t="s">
        <v>169</v>
      </c>
      <c r="I81" s="25">
        <v>-45000</v>
      </c>
      <c r="M81" s="25">
        <v>-45000</v>
      </c>
      <c r="AH81" s="9"/>
      <c r="AI81" s="9"/>
      <c r="AJ81" s="9"/>
      <c r="AK81" s="9"/>
      <c r="AL81" s="9"/>
      <c r="AM81" s="9"/>
    </row>
    <row r="82" spans="1:39" x14ac:dyDescent="0.25">
      <c r="A82" s="25" t="s">
        <v>106</v>
      </c>
      <c r="B82" s="25" t="s">
        <v>96</v>
      </c>
      <c r="C82" s="25" t="s">
        <v>156</v>
      </c>
      <c r="D82" s="25" t="s">
        <v>97</v>
      </c>
      <c r="E82" s="25" t="s">
        <v>121</v>
      </c>
      <c r="F82" s="25" t="s">
        <v>106</v>
      </c>
      <c r="G82" s="25" t="s">
        <v>157</v>
      </c>
      <c r="H82" s="25" t="s">
        <v>147</v>
      </c>
      <c r="I82" s="25">
        <v>25000</v>
      </c>
      <c r="N82" s="25">
        <v>25000</v>
      </c>
      <c r="AH82" s="9"/>
      <c r="AI82" s="9"/>
      <c r="AJ82" s="9"/>
      <c r="AK82" s="9"/>
      <c r="AL82" s="9"/>
      <c r="AM82" s="9"/>
    </row>
    <row r="83" spans="1:39" x14ac:dyDescent="0.25">
      <c r="A83" s="25" t="s">
        <v>106</v>
      </c>
      <c r="B83" s="25" t="s">
        <v>96</v>
      </c>
      <c r="C83" s="25" t="s">
        <v>156</v>
      </c>
      <c r="D83" s="25" t="s">
        <v>97</v>
      </c>
      <c r="E83" s="25" t="s">
        <v>121</v>
      </c>
      <c r="F83" s="25" t="s">
        <v>106</v>
      </c>
      <c r="G83" s="25" t="s">
        <v>157</v>
      </c>
      <c r="H83" s="25" t="s">
        <v>158</v>
      </c>
      <c r="I83" s="25">
        <v>25000</v>
      </c>
      <c r="O83" s="25">
        <v>25000</v>
      </c>
      <c r="AH83" s="9"/>
      <c r="AI83" s="9"/>
      <c r="AJ83" s="9"/>
      <c r="AK83" s="9"/>
      <c r="AL83" s="9"/>
      <c r="AM83" s="9"/>
    </row>
    <row r="84" spans="1:39" x14ac:dyDescent="0.25">
      <c r="A84" s="25" t="s">
        <v>106</v>
      </c>
      <c r="B84" s="25" t="s">
        <v>96</v>
      </c>
      <c r="C84" s="25" t="s">
        <v>159</v>
      </c>
      <c r="D84" s="25" t="s">
        <v>97</v>
      </c>
      <c r="E84" s="25" t="s">
        <v>121</v>
      </c>
      <c r="F84" s="25" t="s">
        <v>106</v>
      </c>
      <c r="G84" s="25" t="s">
        <v>160</v>
      </c>
      <c r="H84" s="25" t="s">
        <v>145</v>
      </c>
      <c r="I84" s="25">
        <v>34000</v>
      </c>
      <c r="R84" s="25">
        <v>34000</v>
      </c>
      <c r="AH84" s="9"/>
      <c r="AI84" s="9"/>
      <c r="AJ84" s="9"/>
      <c r="AK84" s="9"/>
      <c r="AL84" s="9"/>
      <c r="AM84" s="9"/>
    </row>
    <row r="85" spans="1:39" x14ac:dyDescent="0.25">
      <c r="A85" s="25" t="s">
        <v>106</v>
      </c>
      <c r="B85" s="25" t="s">
        <v>96</v>
      </c>
      <c r="C85" s="25" t="s">
        <v>159</v>
      </c>
      <c r="D85" s="25" t="s">
        <v>97</v>
      </c>
      <c r="E85" s="25" t="s">
        <v>121</v>
      </c>
      <c r="F85" s="25" t="s">
        <v>106</v>
      </c>
      <c r="G85" s="25" t="s">
        <v>161</v>
      </c>
      <c r="H85" s="25" t="s">
        <v>145</v>
      </c>
      <c r="I85" s="25">
        <v>274788.05</v>
      </c>
      <c r="M85" s="25">
        <v>274788.05</v>
      </c>
      <c r="AH85" s="9"/>
      <c r="AI85" s="9"/>
      <c r="AJ85" s="9"/>
      <c r="AK85" s="9"/>
      <c r="AL85" s="9"/>
      <c r="AM85" s="9"/>
    </row>
    <row r="86" spans="1:39" x14ac:dyDescent="0.25">
      <c r="A86" s="25" t="s">
        <v>106</v>
      </c>
      <c r="B86" s="25" t="s">
        <v>96</v>
      </c>
      <c r="C86" s="25" t="s">
        <v>162</v>
      </c>
      <c r="D86" s="25" t="s">
        <v>97</v>
      </c>
      <c r="E86" s="25" t="s">
        <v>121</v>
      </c>
      <c r="F86" s="25" t="s">
        <v>106</v>
      </c>
      <c r="G86" s="25" t="s">
        <v>163</v>
      </c>
      <c r="H86" s="25" t="s">
        <v>145</v>
      </c>
      <c r="I86" s="25">
        <v>570835.57999999996</v>
      </c>
      <c r="R86" s="25">
        <v>570835.57999999996</v>
      </c>
      <c r="AH86" s="9"/>
      <c r="AI86" s="9"/>
      <c r="AJ86" s="9"/>
      <c r="AK86" s="9"/>
      <c r="AL86" s="9"/>
      <c r="AM86" s="9"/>
    </row>
    <row r="87" spans="1:39" x14ac:dyDescent="0.25">
      <c r="A87" s="25" t="s">
        <v>106</v>
      </c>
      <c r="B87" s="25" t="s">
        <v>112</v>
      </c>
      <c r="C87" s="25" t="s">
        <v>170</v>
      </c>
      <c r="D87" s="25" t="s">
        <v>121</v>
      </c>
      <c r="E87" s="25" t="s">
        <v>97</v>
      </c>
      <c r="F87" s="25" t="s">
        <v>104</v>
      </c>
      <c r="G87" s="25" t="s">
        <v>171</v>
      </c>
      <c r="H87" s="25" t="s">
        <v>152</v>
      </c>
      <c r="I87" s="25">
        <v>-633000</v>
      </c>
      <c r="R87" s="25">
        <v>-633000</v>
      </c>
      <c r="AH87" s="9"/>
      <c r="AI87" s="9"/>
      <c r="AJ87" s="9"/>
      <c r="AK87" s="9"/>
      <c r="AL87" s="9"/>
      <c r="AM87" s="9"/>
    </row>
    <row r="88" spans="1:39" x14ac:dyDescent="0.25">
      <c r="A88" s="25" t="s">
        <v>99</v>
      </c>
      <c r="B88" s="25" t="s">
        <v>132</v>
      </c>
      <c r="C88" s="25" t="s">
        <v>229</v>
      </c>
      <c r="D88" s="25" t="s">
        <v>230</v>
      </c>
      <c r="E88" s="25" t="s">
        <v>121</v>
      </c>
      <c r="F88" s="25" t="s">
        <v>231</v>
      </c>
      <c r="G88" s="25" t="s">
        <v>232</v>
      </c>
      <c r="H88" s="25" t="s">
        <v>233</v>
      </c>
      <c r="I88" s="25">
        <v>10000</v>
      </c>
      <c r="Q88" s="25">
        <v>10000</v>
      </c>
      <c r="AH88" s="9"/>
      <c r="AI88" s="9"/>
      <c r="AJ88" s="9"/>
      <c r="AK88" s="9"/>
      <c r="AL88" s="9"/>
      <c r="AM88" s="9"/>
    </row>
    <row r="89" spans="1:39" x14ac:dyDescent="0.25">
      <c r="A89" s="25" t="s">
        <v>99</v>
      </c>
      <c r="B89" s="25" t="s">
        <v>137</v>
      </c>
      <c r="C89" s="25" t="s">
        <v>153</v>
      </c>
      <c r="D89" s="25" t="s">
        <v>121</v>
      </c>
      <c r="E89" s="25" t="s">
        <v>134</v>
      </c>
      <c r="F89" s="25" t="s">
        <v>99</v>
      </c>
      <c r="G89" s="25" t="s">
        <v>154</v>
      </c>
      <c r="H89" s="25" t="s">
        <v>155</v>
      </c>
      <c r="I89" s="25">
        <v>-650000</v>
      </c>
      <c r="P89" s="25">
        <v>-158600</v>
      </c>
      <c r="Q89" s="25">
        <v>-491400</v>
      </c>
    </row>
    <row r="90" spans="1:39" x14ac:dyDescent="0.25">
      <c r="A90" s="25" t="s">
        <v>231</v>
      </c>
      <c r="B90" s="25" t="s">
        <v>137</v>
      </c>
      <c r="C90" s="25" t="s">
        <v>229</v>
      </c>
      <c r="D90" s="25" t="s">
        <v>121</v>
      </c>
      <c r="E90" s="25" t="s">
        <v>230</v>
      </c>
      <c r="F90" s="25" t="s">
        <v>231</v>
      </c>
      <c r="G90" s="25" t="s">
        <v>232</v>
      </c>
      <c r="H90" s="25" t="s">
        <v>233</v>
      </c>
      <c r="I90" s="25">
        <v>-10000</v>
      </c>
      <c r="Q90" s="25">
        <v>-10000</v>
      </c>
    </row>
  </sheetData>
  <mergeCells count="5">
    <mergeCell ref="A1:F1"/>
    <mergeCell ref="A3:F3"/>
    <mergeCell ref="A9:G9"/>
    <mergeCell ref="A50:G50"/>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1" t="s">
        <v>16</v>
      </c>
      <c r="C2" s="171"/>
      <c r="D2" s="171"/>
      <c r="E2" s="171"/>
    </row>
    <row r="3" spans="1:5" ht="14.45" x14ac:dyDescent="0.35">
      <c r="B3" s="3"/>
      <c r="C3" s="3"/>
      <c r="D3" s="3"/>
      <c r="E3" s="3"/>
    </row>
    <row r="4" spans="1:5" ht="33" customHeight="1" x14ac:dyDescent="0.35">
      <c r="A4" s="1">
        <v>2</v>
      </c>
      <c r="B4" s="171" t="s">
        <v>17</v>
      </c>
      <c r="C4" s="171"/>
      <c r="D4" s="171"/>
      <c r="E4" s="171"/>
    </row>
    <row r="5" spans="1:5" ht="14.45" x14ac:dyDescent="0.35">
      <c r="B5" s="3"/>
      <c r="C5" s="3"/>
      <c r="D5" s="3"/>
      <c r="E5" s="3"/>
    </row>
    <row r="6" spans="1:5" s="17" customFormat="1" ht="114" customHeight="1" x14ac:dyDescent="0.25">
      <c r="A6" s="18">
        <v>3</v>
      </c>
      <c r="B6" s="172" t="s">
        <v>193</v>
      </c>
      <c r="C6" s="172"/>
      <c r="D6" s="172"/>
      <c r="E6" s="172"/>
    </row>
    <row r="7" spans="1:5" s="17" customFormat="1" ht="14.45" x14ac:dyDescent="0.35">
      <c r="A7" s="18"/>
      <c r="B7" s="19"/>
      <c r="C7" s="19"/>
      <c r="D7" s="19"/>
      <c r="E7" s="19"/>
    </row>
    <row r="8" spans="1:5" ht="18" customHeight="1" x14ac:dyDescent="0.3">
      <c r="A8" s="1">
        <v>4</v>
      </c>
      <c r="B8" s="175" t="s">
        <v>58</v>
      </c>
      <c r="C8" s="175"/>
      <c r="D8" s="8"/>
      <c r="E8" s="8"/>
    </row>
    <row r="9" spans="1:5" ht="18" customHeight="1" x14ac:dyDescent="0.3">
      <c r="B9" s="180" t="s">
        <v>189</v>
      </c>
      <c r="C9" s="180"/>
      <c r="D9" s="13">
        <v>125000</v>
      </c>
    </row>
    <row r="10" spans="1:5" ht="18" customHeight="1" x14ac:dyDescent="0.3">
      <c r="B10" s="171" t="s">
        <v>190</v>
      </c>
      <c r="C10" s="171"/>
      <c r="D10" s="12">
        <v>-31250</v>
      </c>
    </row>
    <row r="11" spans="1:5" ht="18" customHeight="1" x14ac:dyDescent="0.25">
      <c r="B11" s="180" t="s">
        <v>191</v>
      </c>
      <c r="C11" s="180"/>
      <c r="D11" s="14">
        <f>+D9+D10</f>
        <v>93750</v>
      </c>
    </row>
    <row r="12" spans="1:5" ht="31.5" customHeight="1" x14ac:dyDescent="0.25">
      <c r="B12" s="171" t="s">
        <v>188</v>
      </c>
      <c r="C12" s="171"/>
      <c r="D12" s="11">
        <v>31250</v>
      </c>
    </row>
    <row r="13" spans="1:5" ht="36.75" customHeight="1" x14ac:dyDescent="0.25">
      <c r="B13" s="180" t="s">
        <v>192</v>
      </c>
      <c r="C13" s="180"/>
      <c r="D13" s="15">
        <f>SUM(D11:D12)</f>
        <v>125000</v>
      </c>
    </row>
    <row r="14" spans="1:5" s="17" customFormat="1" ht="18" customHeight="1" x14ac:dyDescent="0.25">
      <c r="A14" s="18"/>
      <c r="B14" s="22"/>
      <c r="C14" s="22"/>
      <c r="D14" s="23"/>
    </row>
    <row r="15" spans="1:5" s="17" customFormat="1" ht="84.75" customHeight="1" x14ac:dyDescent="0.25">
      <c r="A15" s="1">
        <v>5</v>
      </c>
      <c r="B15" s="179" t="s">
        <v>59</v>
      </c>
      <c r="C15" s="179"/>
      <c r="D15" s="179"/>
      <c r="E15" s="179"/>
    </row>
    <row r="16" spans="1:5" x14ac:dyDescent="0.25">
      <c r="B16" s="3"/>
      <c r="C16" s="3"/>
      <c r="D16" s="3"/>
      <c r="E16" s="3"/>
    </row>
    <row r="17" spans="1:5" ht="14.45" customHeight="1" x14ac:dyDescent="0.25">
      <c r="A17" s="1">
        <v>6</v>
      </c>
      <c r="B17" s="171" t="s">
        <v>195</v>
      </c>
      <c r="C17" s="171"/>
      <c r="D17" s="171"/>
      <c r="E17" s="171"/>
    </row>
    <row r="18" spans="1:5" x14ac:dyDescent="0.25">
      <c r="B18" s="10"/>
      <c r="C18" s="10"/>
      <c r="D18" s="10"/>
      <c r="E18" s="10"/>
    </row>
    <row r="19" spans="1:5" ht="33" customHeight="1" x14ac:dyDescent="0.25">
      <c r="A19" s="1">
        <v>7</v>
      </c>
      <c r="B19" s="171" t="s">
        <v>37</v>
      </c>
      <c r="C19" s="171"/>
      <c r="D19" s="171"/>
      <c r="E19" s="171"/>
    </row>
    <row r="20" spans="1:5" ht="14.25" customHeight="1" x14ac:dyDescent="0.25">
      <c r="B20" s="7"/>
      <c r="C20" s="7"/>
      <c r="D20" s="7"/>
      <c r="E20" s="7"/>
    </row>
    <row r="21" spans="1:5" ht="47.25" customHeight="1" x14ac:dyDescent="0.25">
      <c r="A21" s="1">
        <v>8</v>
      </c>
      <c r="B21" s="171" t="s">
        <v>38</v>
      </c>
      <c r="C21" s="171"/>
      <c r="D21" s="171"/>
      <c r="E21" s="171"/>
    </row>
    <row r="22" spans="1:5" ht="15" customHeight="1" x14ac:dyDescent="0.25">
      <c r="B22" s="7"/>
      <c r="C22" s="7"/>
      <c r="D22" s="7"/>
      <c r="E22" s="7"/>
    </row>
    <row r="23" spans="1:5" ht="32.25" customHeight="1" x14ac:dyDescent="0.25">
      <c r="A23" s="1">
        <v>9</v>
      </c>
      <c r="B23" s="171" t="s">
        <v>36</v>
      </c>
      <c r="C23" s="171"/>
      <c r="D23" s="171"/>
      <c r="E23" s="171"/>
    </row>
    <row r="24" spans="1:5" ht="15" customHeight="1" x14ac:dyDescent="0.25">
      <c r="B24" s="7"/>
      <c r="C24" s="7"/>
      <c r="D24" s="7"/>
      <c r="E24" s="7"/>
    </row>
    <row r="25" spans="1:5" ht="33" customHeight="1" x14ac:dyDescent="0.25">
      <c r="A25" s="1">
        <v>10</v>
      </c>
      <c r="B25" s="171" t="s">
        <v>39</v>
      </c>
      <c r="C25" s="171"/>
      <c r="D25" s="171"/>
      <c r="E25" s="171"/>
    </row>
    <row r="26" spans="1:5" x14ac:dyDescent="0.25">
      <c r="B26" s="3"/>
      <c r="C26" s="3"/>
      <c r="D26" s="3"/>
      <c r="E26" s="3"/>
    </row>
    <row r="27" spans="1:5" ht="30" customHeight="1" x14ac:dyDescent="0.25">
      <c r="A27" s="1">
        <v>11</v>
      </c>
      <c r="B27" s="171" t="s">
        <v>40</v>
      </c>
      <c r="C27" s="171"/>
      <c r="D27" s="171"/>
      <c r="E27" s="171"/>
    </row>
    <row r="28" spans="1:5" x14ac:dyDescent="0.25">
      <c r="B28" s="3"/>
      <c r="C28" s="3"/>
      <c r="D28" s="3"/>
      <c r="E28" s="3"/>
    </row>
    <row r="29" spans="1:5" ht="31.5" customHeight="1" x14ac:dyDescent="0.25">
      <c r="A29" s="1">
        <v>12</v>
      </c>
      <c r="B29" s="171" t="s">
        <v>41</v>
      </c>
      <c r="C29" s="171"/>
      <c r="D29" s="171"/>
      <c r="E29" s="171"/>
    </row>
    <row r="30" spans="1:5" x14ac:dyDescent="0.25">
      <c r="B30" s="7"/>
      <c r="C30" s="7"/>
      <c r="D30" s="7"/>
      <c r="E30" s="7"/>
    </row>
    <row r="31" spans="1:5" ht="34.5" customHeight="1" x14ac:dyDescent="0.25">
      <c r="A31" s="1">
        <v>13</v>
      </c>
      <c r="B31" s="171" t="s">
        <v>18</v>
      </c>
      <c r="C31" s="171"/>
      <c r="D31" s="171"/>
      <c r="E31" s="171"/>
    </row>
    <row r="32" spans="1:5" ht="16.5" customHeight="1" x14ac:dyDescent="0.25">
      <c r="B32" s="3"/>
      <c r="C32" s="3"/>
      <c r="D32" s="3"/>
      <c r="E32" s="3"/>
    </row>
    <row r="33" spans="1:5" ht="64.5" customHeight="1" x14ac:dyDescent="0.25">
      <c r="A33" s="1">
        <v>14</v>
      </c>
      <c r="B33" s="171" t="s">
        <v>19</v>
      </c>
      <c r="C33" s="171"/>
      <c r="D33" s="171"/>
      <c r="E33" s="171"/>
    </row>
    <row r="34" spans="1:5" ht="14.25" customHeight="1" x14ac:dyDescent="0.25">
      <c r="B34" s="3"/>
      <c r="C34" s="3"/>
      <c r="D34" s="3"/>
      <c r="E34" s="3"/>
    </row>
    <row r="35" spans="1:5" x14ac:dyDescent="0.25">
      <c r="A35" s="1">
        <v>15</v>
      </c>
      <c r="B35" s="175" t="s">
        <v>33</v>
      </c>
      <c r="C35" s="175"/>
      <c r="D35" s="175"/>
      <c r="E35" s="175"/>
    </row>
    <row r="36" spans="1:5" x14ac:dyDescent="0.25">
      <c r="B36" s="16" t="s">
        <v>7</v>
      </c>
      <c r="C36" s="176" t="s">
        <v>20</v>
      </c>
      <c r="D36" s="176"/>
      <c r="E36" s="176"/>
    </row>
    <row r="37" spans="1:5" x14ac:dyDescent="0.25">
      <c r="B37" s="5" t="s">
        <v>21</v>
      </c>
      <c r="C37" s="177" t="s">
        <v>28</v>
      </c>
      <c r="D37" s="177"/>
      <c r="E37" s="177"/>
    </row>
    <row r="38" spans="1:5" x14ac:dyDescent="0.25">
      <c r="B38" s="16" t="s">
        <v>22</v>
      </c>
      <c r="C38" s="176" t="s">
        <v>29</v>
      </c>
      <c r="D38" s="176"/>
      <c r="E38" s="176"/>
    </row>
    <row r="39" spans="1:5" x14ac:dyDescent="0.25">
      <c r="B39" s="5" t="s">
        <v>23</v>
      </c>
      <c r="C39" s="177" t="s">
        <v>32</v>
      </c>
      <c r="D39" s="177"/>
      <c r="E39" s="177"/>
    </row>
    <row r="40" spans="1:5" x14ac:dyDescent="0.25">
      <c r="B40" s="16" t="s">
        <v>9</v>
      </c>
      <c r="C40" s="176" t="s">
        <v>30</v>
      </c>
      <c r="D40" s="176"/>
      <c r="E40" s="176"/>
    </row>
    <row r="41" spans="1:5" x14ac:dyDescent="0.25">
      <c r="B41" s="5" t="s">
        <v>8</v>
      </c>
      <c r="C41" s="177" t="s">
        <v>24</v>
      </c>
      <c r="D41" s="177"/>
      <c r="E41" s="177"/>
    </row>
    <row r="42" spans="1:5" x14ac:dyDescent="0.25">
      <c r="B42" s="16" t="s">
        <v>25</v>
      </c>
      <c r="C42" s="176" t="s">
        <v>26</v>
      </c>
      <c r="D42" s="176"/>
      <c r="E42" s="176"/>
    </row>
    <row r="43" spans="1:5" x14ac:dyDescent="0.25">
      <c r="B43" s="5" t="s">
        <v>27</v>
      </c>
      <c r="C43" s="177" t="s">
        <v>31</v>
      </c>
      <c r="D43" s="177"/>
      <c r="E43" s="177"/>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76" t="s">
        <v>67</v>
      </c>
      <c r="D46" s="176"/>
      <c r="E46" s="176"/>
    </row>
    <row r="47" spans="1:5" s="17" customFormat="1" x14ac:dyDescent="0.25">
      <c r="A47" s="18"/>
      <c r="B47" s="20" t="s">
        <v>51</v>
      </c>
      <c r="C47" s="177" t="s">
        <v>66</v>
      </c>
      <c r="D47" s="177"/>
      <c r="E47" s="177"/>
    </row>
    <row r="48" spans="1:5" s="17" customFormat="1" ht="48.75" customHeight="1" x14ac:dyDescent="0.25">
      <c r="A48" s="18"/>
      <c r="B48" s="16" t="s">
        <v>52</v>
      </c>
      <c r="C48" s="176" t="s">
        <v>69</v>
      </c>
      <c r="D48" s="176"/>
      <c r="E48" s="176"/>
    </row>
    <row r="49" spans="1:5" s="17" customFormat="1" ht="29.25" customHeight="1" x14ac:dyDescent="0.25">
      <c r="A49" s="18"/>
      <c r="B49" s="20" t="s">
        <v>53</v>
      </c>
      <c r="C49" s="177" t="s">
        <v>68</v>
      </c>
      <c r="D49" s="177"/>
      <c r="E49" s="177"/>
    </row>
    <row r="50" spans="1:5" x14ac:dyDescent="0.25">
      <c r="B50" s="5"/>
      <c r="C50" s="6"/>
      <c r="D50" s="6"/>
      <c r="E50" s="6"/>
    </row>
    <row r="51" spans="1:5" ht="94.5" customHeight="1" x14ac:dyDescent="0.25">
      <c r="A51" s="1">
        <v>17</v>
      </c>
      <c r="B51" s="174" t="s">
        <v>194</v>
      </c>
      <c r="C51" s="174"/>
      <c r="D51" s="174"/>
      <c r="E51" s="174"/>
    </row>
    <row r="53" spans="1:5" x14ac:dyDescent="0.25">
      <c r="B53" s="2"/>
    </row>
    <row r="54" spans="1:5" x14ac:dyDescent="0.25">
      <c r="A54" s="173" t="s">
        <v>34</v>
      </c>
      <c r="B54" s="173"/>
      <c r="C54" s="173"/>
      <c r="D54" s="173"/>
      <c r="E54" s="17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2019-05-08T19:37:13Z</dcterms:modified>
</cp:coreProperties>
</file>