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285ED17C-7DB3-4ECF-AC9F-24D8BE1FF9B6}" xr6:coauthVersionLast="47" xr6:coauthVersionMax="47" xr10:uidLastSave="{00000000-0000-0000-0000-000000000000}"/>
  <bookViews>
    <workbookView xWindow="-108" yWindow="-108" windowWidth="23256" windowHeight="12456" xr2:uid="{00000000-000D-0000-FFFF-FFFF00000000}"/>
  </bookViews>
  <sheets>
    <sheet name="Federal Funds Transactions" sheetId="1" r:id="rId1"/>
    <sheet name="Regional Loans and Transfers" sheetId="3" r:id="rId2"/>
    <sheet name="Notes" sheetId="2" r:id="rId3"/>
    <sheet name="FY26 Apportionments" sheetId="4"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Transactions'!$A$1:$T$58</definedName>
    <definedName name="Query_from_MS_Access_Database" localSheetId="0" hidden="1">'Federal Funds Transactions'!$A$15:$V$18</definedName>
    <definedName name="Query_from_MS_Access_Database" localSheetId="1" hidden="1">'Regional Loans and Transfers'!$A$11:$T$21</definedName>
    <definedName name="Query_from_MS_Access_Database_1" localSheetId="0" hidden="1">'Federal Funds Transactions'!$A$40:$V$43</definedName>
    <definedName name="Query_from_MS_Access_Database_1" localSheetId="1" hidden="1">'Regional Loans and Transfers'!$A$66:$T$76</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W17" i="1"/>
  <c r="W18" i="1"/>
  <c r="W41" i="1"/>
  <c r="W42" i="1"/>
  <c r="W43" i="1"/>
  <c r="W4" i="1" l="1"/>
  <c r="C6" i="4" l="1"/>
  <c r="C5" i="4"/>
  <c r="X11" i="1" l="1"/>
  <c r="V11" i="1"/>
  <c r="U11" i="1"/>
  <c r="T11" i="1"/>
  <c r="S11" i="1"/>
  <c r="R11" i="1"/>
  <c r="Q11" i="1"/>
  <c r="P11" i="1"/>
  <c r="O11" i="1"/>
  <c r="N11" i="1"/>
  <c r="M11" i="1"/>
  <c r="X10" i="1"/>
  <c r="V10" i="1"/>
  <c r="U10" i="1"/>
  <c r="T10" i="1"/>
  <c r="S10" i="1"/>
  <c r="R10" i="1"/>
  <c r="Q10" i="1"/>
  <c r="P10" i="1"/>
  <c r="O10" i="1"/>
  <c r="N10" i="1"/>
  <c r="X9" i="1"/>
  <c r="V9" i="1"/>
  <c r="U9" i="1"/>
  <c r="T9" i="1"/>
  <c r="S9" i="1"/>
  <c r="R9" i="1"/>
  <c r="Q9" i="1"/>
  <c r="P9" i="1"/>
  <c r="O9" i="1"/>
  <c r="N9" i="1"/>
  <c r="M9" i="1"/>
  <c r="X8" i="1"/>
  <c r="V8" i="1"/>
  <c r="U8" i="1"/>
  <c r="T8" i="1"/>
  <c r="S8" i="1"/>
  <c r="R8" i="1"/>
  <c r="Q8" i="1"/>
  <c r="P8" i="1"/>
  <c r="O8" i="1"/>
  <c r="N8" i="1"/>
  <c r="M8" i="1"/>
  <c r="X7" i="1"/>
  <c r="V7" i="1"/>
  <c r="U7" i="1"/>
  <c r="T7" i="1"/>
  <c r="S7" i="1"/>
  <c r="R7" i="1"/>
  <c r="Q7" i="1"/>
  <c r="P7" i="1"/>
  <c r="O7" i="1"/>
  <c r="N7" i="1"/>
  <c r="M7" i="1"/>
  <c r="X6" i="1"/>
  <c r="V6" i="1"/>
  <c r="U6" i="1"/>
  <c r="T6" i="1"/>
  <c r="S6" i="1"/>
  <c r="R6" i="1"/>
  <c r="Q6" i="1"/>
  <c r="P6" i="1"/>
  <c r="O6" i="1"/>
  <c r="N6" i="1"/>
  <c r="M6" i="1"/>
  <c r="J12" i="4"/>
  <c r="K11" i="4"/>
  <c r="K10" i="4"/>
  <c r="K9" i="4"/>
  <c r="K8" i="4"/>
  <c r="K7" i="4"/>
  <c r="I6" i="4"/>
  <c r="K6" i="4" s="1"/>
  <c r="I5" i="4"/>
  <c r="K5" i="4" s="1"/>
  <c r="K4" i="4"/>
  <c r="K3" i="4"/>
  <c r="K12" i="4" l="1"/>
  <c r="K13" i="4" s="1"/>
  <c r="I16" i="4" s="1"/>
  <c r="I12" i="4"/>
  <c r="S5" i="1" l="1"/>
  <c r="E10" i="2" l="1"/>
  <c r="D11" i="2" l="1"/>
  <c r="E11" i="2" s="1"/>
  <c r="D12" i="2" l="1"/>
  <c r="E12" i="2" s="1"/>
  <c r="V4" i="4"/>
  <c r="W4" i="4"/>
  <c r="W5" i="4"/>
  <c r="V6" i="4"/>
  <c r="W6" i="4"/>
  <c r="V7" i="4"/>
  <c r="W7" i="4"/>
  <c r="V8" i="4"/>
  <c r="W8" i="4"/>
  <c r="V9" i="4"/>
  <c r="W9" i="4"/>
  <c r="V10" i="4"/>
  <c r="W10" i="4"/>
  <c r="V11" i="4"/>
  <c r="W11" i="4"/>
  <c r="W3" i="4"/>
  <c r="V3" i="4"/>
  <c r="V5" i="4"/>
  <c r="P12" i="4"/>
  <c r="O12" i="4"/>
  <c r="Q11" i="4"/>
  <c r="Q10" i="4"/>
  <c r="Q9" i="4"/>
  <c r="Q8" i="4"/>
  <c r="Q7" i="4"/>
  <c r="Q6" i="4"/>
  <c r="Q5" i="4"/>
  <c r="Q4" i="4"/>
  <c r="Q3" i="4"/>
  <c r="Q12" i="4" l="1"/>
  <c r="Q13" i="4" s="1"/>
  <c r="P5" i="1"/>
  <c r="Q5" i="1"/>
  <c r="T5" i="1"/>
  <c r="U5" i="1"/>
  <c r="V5" i="1"/>
  <c r="M10" i="1"/>
  <c r="D12" i="4"/>
  <c r="W12" i="4" s="1"/>
  <c r="E7" i="4"/>
  <c r="X7" i="4" s="1"/>
  <c r="E9" i="4"/>
  <c r="X9" i="4" s="1"/>
  <c r="E8" i="4"/>
  <c r="X8" i="4" s="1"/>
  <c r="E10" i="4"/>
  <c r="X10" i="4" s="1"/>
  <c r="E11" i="4"/>
  <c r="X11" i="4" s="1"/>
  <c r="M49" i="1"/>
  <c r="U49" i="1"/>
  <c r="V49" i="1"/>
  <c r="U36" i="1"/>
  <c r="V36" i="1"/>
  <c r="M36" i="1"/>
  <c r="U56" i="1"/>
  <c r="T56" i="1"/>
  <c r="S56" i="1"/>
  <c r="N56" i="1"/>
  <c r="M56" i="1"/>
  <c r="W49" i="1"/>
  <c r="E4" i="4"/>
  <c r="X4" i="4" s="1"/>
  <c r="E3" i="4"/>
  <c r="X3" i="4" s="1"/>
  <c r="V56" i="1"/>
  <c r="R56" i="1"/>
  <c r="Q56" i="1"/>
  <c r="P56" i="1"/>
  <c r="O56" i="1"/>
  <c r="N49" i="1"/>
  <c r="O49" i="1"/>
  <c r="P49" i="1"/>
  <c r="Q49" i="1"/>
  <c r="R49" i="1"/>
  <c r="S49" i="1"/>
  <c r="N36" i="1"/>
  <c r="O36" i="1"/>
  <c r="P36" i="1"/>
  <c r="Q36" i="1"/>
  <c r="R36" i="1"/>
  <c r="S36" i="1"/>
  <c r="T49" i="1"/>
  <c r="T36" i="1"/>
  <c r="X56" i="1"/>
  <c r="B5" i="3"/>
  <c r="A7" i="3"/>
  <c r="A1" i="3"/>
  <c r="W6" i="1" l="1"/>
  <c r="V12" i="1"/>
  <c r="V37" i="1" s="1"/>
  <c r="V50" i="1" s="1"/>
  <c r="V55" i="1" s="1"/>
  <c r="V58" i="1" s="1"/>
  <c r="Q12" i="1"/>
  <c r="Q37" i="1" s="1"/>
  <c r="Q50" i="1" s="1"/>
  <c r="R51" i="1"/>
  <c r="W9" i="1"/>
  <c r="W10" i="1"/>
  <c r="P51" i="1"/>
  <c r="T51" i="1"/>
  <c r="U51" i="1"/>
  <c r="O51" i="1"/>
  <c r="N51" i="1"/>
  <c r="M12" i="1"/>
  <c r="M37" i="1" s="1"/>
  <c r="M50" i="1" s="1"/>
  <c r="M55" i="1" s="1"/>
  <c r="R12" i="1"/>
  <c r="R37" i="1" s="1"/>
  <c r="R50" i="1" s="1"/>
  <c r="R55" i="1" s="1"/>
  <c r="T12" i="1"/>
  <c r="T37" i="1" s="1"/>
  <c r="T50" i="1" s="1"/>
  <c r="T55" i="1" s="1"/>
  <c r="T57" i="1" s="1"/>
  <c r="P12" i="1"/>
  <c r="P37" i="1" s="1"/>
  <c r="P50" i="1" s="1"/>
  <c r="P55" i="1" s="1"/>
  <c r="W11" i="1"/>
  <c r="S12" i="1"/>
  <c r="S37" i="1" s="1"/>
  <c r="S50" i="1" s="1"/>
  <c r="S55" i="1" s="1"/>
  <c r="W7" i="1"/>
  <c r="W8" i="1"/>
  <c r="U12" i="1"/>
  <c r="U37" i="1" s="1"/>
  <c r="U50" i="1" s="1"/>
  <c r="U55" i="1" s="1"/>
  <c r="U57" i="1" s="1"/>
  <c r="S51" i="1"/>
  <c r="M51" i="1"/>
  <c r="Q51" i="1"/>
  <c r="V51" i="1"/>
  <c r="W36" i="1"/>
  <c r="W51" i="1" l="1"/>
  <c r="Q55" i="1"/>
  <c r="Q58" i="1" s="1"/>
  <c r="M58" i="1"/>
  <c r="M57" i="1"/>
  <c r="R58" i="1"/>
  <c r="R57" i="1"/>
  <c r="T58" i="1"/>
  <c r="P57" i="1"/>
  <c r="P58" i="1"/>
  <c r="V57" i="1"/>
  <c r="S57" i="1"/>
  <c r="S58" i="1"/>
  <c r="Q57" i="1" l="1"/>
  <c r="E5" i="4" l="1"/>
  <c r="X5" i="4" s="1"/>
  <c r="N5" i="1"/>
  <c r="N12" i="1" l="1"/>
  <c r="N37" i="1" s="1"/>
  <c r="N50" i="1" s="1"/>
  <c r="N55" i="1" s="1"/>
  <c r="N58" i="1" s="1"/>
  <c r="E6" i="4"/>
  <c r="O5" i="1"/>
  <c r="O12" i="1" s="1"/>
  <c r="O37" i="1" s="1"/>
  <c r="O50" i="1" s="1"/>
  <c r="O55" i="1" s="1"/>
  <c r="C12" i="4"/>
  <c r="V12" i="4" s="1"/>
  <c r="W5" i="1" l="1"/>
  <c r="N57" i="1"/>
  <c r="W56" i="1" s="1"/>
  <c r="X5" i="1"/>
  <c r="X12" i="1" s="1"/>
  <c r="E12" i="4"/>
  <c r="E13" i="4" s="1"/>
  <c r="X6" i="4"/>
  <c r="O57" i="1"/>
  <c r="O58" i="1"/>
  <c r="W58" i="1" s="1"/>
  <c r="W12" i="1"/>
  <c r="W37" i="1" s="1"/>
  <c r="W50" i="1" s="1"/>
  <c r="W55" i="1"/>
  <c r="X41" i="1"/>
  <c r="X42" i="1" s="1"/>
  <c r="X43" i="1" s="1"/>
  <c r="X16" i="1"/>
  <c r="X17" i="1" s="1"/>
  <c r="X18" i="1" s="1"/>
  <c r="W57" i="1" l="1"/>
  <c r="C16" i="4"/>
  <c r="X12" i="4"/>
  <c r="X13" i="4" s="1"/>
  <c r="X55" i="1" l="1"/>
  <c r="X57"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13-BHCMPO LEDGER`.`ADOT#`, `13-BHCMPO LEDGER`.`TIP#`, `13-BHCMPO LEDGER`.Sponsor, `13-BHCMPO LEDGER`.`Action/15`, `13-BHCMPO LEDGER`.Location, `13-BHCMPO LEDGER`.RTE, `13-BHCMPO LEDGER`.SEC, `13-BHCMPO LEDGER`.SEQ, `13-BHCMPO LEDGER`.`PB Expected`, `13-BHCMPO LEDGER`.`PB Received`, `13-BHCMPO LEDGER`.`PF Transmitted`, `13-BHCMPO LEDGER`.`Finance Authorization`, `13-BHCMPO LEDGER`.`HURF Exchange` as `HURF EX`, `13-BHCMPO LEDGER`.PL,`13-BHCMPO LEDGER`.`PL-SATO`,  `13-BHCMPO LEDGER`.SPR, `13-BHCMPO LEDGER`.`STP &lt;5`, `13-BHCMPO LEDGER`.`STP 5-200`, `13-BHCMPO LEDGER`.`STP 5-50`,`13-BHCMPO LEDGER`.`STP 50-200`,`13-BHCMPO LEDGER`.`CRP 50-200`,`13-BHCMPO LEDGER`.`STP OTHER`_x000d__x000a_FROM `G:\FMS\RESOURCE\ACCESS\010614 PBPF\011614 PBPF front.accdb`.`13-BHCMPO LEDGER` `13-BHCMPO LEDGER`_x000d__x000a_WHERE (`13-BHCMPO LEDGER`.`ADOT#`&lt;&gt;'Trick') AND (`13-BHCMPO LEDGER`.`Finance Authorization`&gt;=#10/1/2025# AND `13-BHCMPO LEDGER`.`Finance Authorization`&lt;=#9/30/2026#)_x000d__x000a_ORDER BY `13-BHCMPO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13-BHCMPOqryLedgerApportsCrosstab`.`Transaction Year`, `13-BHCMPOqryLedgerApportsCrosstab`.`Transaction Type`, `13-BHCMPOqryLedgerApportsCrosstab`.Number, `13-BHCMPOqryLedgerApportsCrosstab`.`From`, `13-BHCMPOqryLedgerApportsCrosstab`.To, `13-BHCMPOqryLedgerApportsCrosstab`.`Repayment Year`, `13-BHCMPOqryLedgerApportsCrosstab`.Project8, `13-BHCMPOqryLedgerApportsCrosstab`.Notes, `13-BHCMPOqryLedgerApportsCrosstab`.Total, `13-BHCMPOqryLedgerApportsCrosstab`.`HURF Exchange`, `13-BHCMPOqryLedgerApportsCrosstab`.HSIP, `13-BHCMPOqryLedgerApportsCrosstab`.PLaN,  `13-BHCMPOqryLedgerApportsCrosstab`.`PLAN SATO`,`13-BHCMPOqryLedgerApportsCrosstab`.SPR, `13-BHCMPOqryLedgerApportsCrosstab`.`STP &lt;5`, `13-BHCMPOqryLedgerApportsCrosstab`.`STP 5-2`,`13-BHCMPOqryLedgerApportsCrosstab`.`STP 5-50`,`13-BHCMPOqryLedgerApportsCrosstab`.`STP 50-200`,`13-BHCMPOqryLedgerApportsCrosstab`.`STP Flex`,`13-BHCMPOqryLedgerApportsCrosstab`.`CRP 50-200`, `13-BHCMPOqryLedgerApportsCrosstab`.`TAP &lt;5`, `13-BHCMPOqryLedgerApportsCrosstab`.`TAP 5-2`, `13-BHCMPOqryLedgerApportsCrosstab`.`TAP Flex`_x000d__x000a_FROM `G:\FMS\RESOURCE\ACCESS\010614 PBPF\011614 PBPF front.accdb`.`13-BHCMPOqryLedgerApportsCrosstab` `13-BHCMPOqryLedgerApportsCrosstab`_x000d__x000a_WHERE (`13-BHCMPO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13-BHCMPOqryLedgerOACrosstab`.`Transaction Year`, `13-BHCMPOqryLedgerOACrosstab`.`Transaction Type`, `13-BHCMPOqryLedgerOACrosstab`.Number, `13-BHCMPOqryLedgerOACrosstab`.`From`, `13-BHCMPOqryLedgerOACrosstab`.To, `13-BHCMPOqryLedgerOACrosstab`.`Repayment Year`, `13-BHCMPOqryLedgerOACrosstab`.Project8, `13-BHCMPOqryLedgerOACrosstab`.Notes, `13-BHCMPOqryLedgerOACrosstab`.Total, `13-BHCMPOqryLedgerOACrosstab`.`HURF Exchange`, `13-BHCMPOqryLedgerOACrosstab`.HSIP, `13-BHCMPOqryLedgerOACrosstab`.PLAN,`13-BHCMPOqryLedgerOACrosstab`.`PLAN SATO`,  `13-BHCMPOqryLedgerOACrosstab`.SPR, `13-BHCMPOqryLedgerOACrosstab`.`STP &lt;5`, `13-BHCMPOqryLedgerOACrosstab`.`STP 5-2`,`13-BHCMPOqryLedgerOACrosstab`.`STP 5-50`,`13-BHCMPOqryLedgerOACrosstab`.`STP 50-200`,`13-BHCMPOqryLedgerOACrosstab`.`CRP 50-200`,  `13-BHCMPOqryLedgerOACrosstab`.`STP Flex`, `13-BHCMPOqryLedgerOACrosstab`.`TAP &lt;5`, `13-BHCMPOqryLedgerOACrosstab`.`TAP 5-2`, `13-BHCMPOqryLedgerOACrosstab`.`TAP Flex`_x000d__x000a_FROM `G:\FMS\RESOURCE\ACCESS\010614 PBPF\011614 PBPF front.accdb`.`13-BHCMPOqryLedgerOACrosstab` `13-BHCMPOqryLedgerOACrosstab`_x000d__x000a_WHERE (`13-BHCMPO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13-BHCMPO LEDGER`.`ADOT#`, `13-BHCMPO LEDGER`.`TIP#`, `13-BHCMPO LEDGER`.Sponsor, `13-BHCMPO LEDGER`.`Action/15`, `13-BHCMPO LEDGER`.Location, `13-BHCMPO LEDGER`.RTE, `13-BHCMPO LEDGER`.SEC, `13-BHCMPO LEDGER`.SEQ, `13-BHCMPO LEDGER`.`PB Expected`, `13-BHCMPO LEDGER`.`PB Received`, `13-BHCMPO LEDGER`.`PF Transmitted`, `13-BHCMPO LEDGER`.`Finance Authorization`, `13-BHCMPO LEDGER`.`HURF Exchange` as `HURF EX`, `13-BHCMPO LEDGER`.PL, `13-BHCMPO LEDGER`.`PL-SATO`, `13-BHCMPO LEDGER`.SPR, `13-BHCMPO LEDGER`.`STP &lt;5`, `13-BHCMPO LEDGER`.`STP 5-200`, `13-BHCMPO LEDGER`.`STP 5-50`,`13-BHCMPO LEDGER`.`STP 50-200`,`13-BHCMPO LEDGER`.`CRP 50-200`,`13-BHCMPO LEDGER`.`STP OTHER`_x000d__x000a_FROM `G:\FMS\RESOURCE\ACCESS\010614 PBPF\011614 PBPF front.accdb`.`13-BHCMPO LEDGER` `13-BHCMPO LEDGER`_x000d__x000a_WHERE (`13-BHCMPO LEDGER`.`ADOT#` Not Like 'Trick') AND (`13-BHCMPO LEDGER`.`Finance Authorization` Is Null) AND ((`13-BHCMPO LEDGER`.`PB Expected`&gt;=#10/1/2025# and `PB Expected`&lt;=#9/30/2026#) OR (`13-BHCMPO LEDGER`.`PB Received`&gt;=#10/1/2025# and `PB Received`&lt;=#9/30/2026#) OR (`13-BHCMPO LEDGER`.`PF Transmitted`&gt;=#10/1/2025# and `PF Transmitted`&lt;=#9/30/2026#))_x000d__x000a_ORDER BY `13-BHCMPO LEDGER`.`ADOT#`"/>
  </connection>
</connections>
</file>

<file path=xl/sharedStrings.xml><?xml version="1.0" encoding="utf-8"?>
<sst xmlns="http://schemas.openxmlformats.org/spreadsheetml/2006/main" count="525" uniqueCount="185">
  <si>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</si>
  <si>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</si>
  <si>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</si>
  <si>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</si>
  <si>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</si>
  <si>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</si>
  <si>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</si>
  <si>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</si>
  <si>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</si>
  <si>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</si>
  <si>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</si>
  <si>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</si>
  <si>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</si>
  <si>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</si>
  <si>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</si>
  <si>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</si>
  <si>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</si>
  <si>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OA is the amount of authorized apportionments which Congress allows states to obligated in an individual year. This is the amount which FHWA will reimburse.</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</si>
  <si>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</si>
  <si>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</si>
  <si>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</si>
  <si>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</si>
  <si>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</si>
  <si>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</si>
  <si>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</si>
  <si>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</si>
  <si>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</si>
  <si>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</si>
  <si>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</si>
  <si>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</si>
  <si>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</si>
  <si>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</si>
  <si>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</si>
  <si>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</si>
  <si>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</si>
  <si>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</si>
  <si>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</si>
  <si>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</si>
  <si>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</si>
  <si>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</si>
  <si>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</si>
  <si>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PL</t>
  </si>
  <si>
    <t>Transaction Year</t>
  </si>
  <si>
    <t>Transaction Type</t>
  </si>
  <si>
    <t>Repayment Year</t>
  </si>
  <si>
    <t>RTE</t>
  </si>
  <si>
    <t>SEC</t>
  </si>
  <si>
    <t>SEQ</t>
  </si>
  <si>
    <t>PB Expected</t>
  </si>
  <si>
    <t>PB Received</t>
  </si>
  <si>
    <t>PF Transmitted</t>
  </si>
  <si>
    <t>Finance Authorization</t>
  </si>
  <si>
    <t>STP OTHER</t>
  </si>
  <si>
    <t>TOTAL</t>
  </si>
  <si>
    <t>SPR /4</t>
  </si>
  <si>
    <t>APPORTIONMENTS</t>
  </si>
  <si>
    <t>OA</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</si>
  <si>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</si>
  <si>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</si>
  <si>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</si>
  <si>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</si>
  <si>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</si>
  <si>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</si>
  <si>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</si>
  <si>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</si>
  <si>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</si>
  <si>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</si>
  <si>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</si>
  <si>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</si>
  <si>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</si>
  <si>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</si>
  <si>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Total Used</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</si>
  <si>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</si>
  <si>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</si>
  <si>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</si>
  <si>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</si>
  <si>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</si>
  <si>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</si>
  <si>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</si>
  <si>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t>TOTAL OF AMOUNT</t>
  </si>
  <si>
    <t>Expected Totals</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</si>
  <si>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</si>
  <si>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</si>
  <si>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</si>
  <si>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</si>
  <si>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</si>
  <si>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DECLINING BALANCE OA</t>
  </si>
  <si>
    <t>Loan Out</t>
  </si>
  <si>
    <t>Repayment In</t>
  </si>
  <si>
    <t>ADOT</t>
  </si>
  <si>
    <t>Current FFY
Apportionments /5</t>
  </si>
  <si>
    <t>STP &lt;5</t>
  </si>
  <si>
    <t>STP 5-2</t>
  </si>
  <si>
    <r>
      <t xml:space="preserve">FFY Total Available 
</t>
    </r>
    <r>
      <rPr>
        <b/>
        <sz val="9"/>
        <color rgb="FFFF0000"/>
        <rFont val="Arial Unicode MS"/>
        <family val="2"/>
      </rPr>
      <t xml:space="preserve">*LAPSES ON 6/30* </t>
    </r>
    <r>
      <rPr>
        <sz val="9"/>
        <rFont val="Arial Unicode MS"/>
        <family val="2"/>
      </rPr>
      <t>/13</t>
    </r>
  </si>
  <si>
    <r>
      <t xml:space="preserve">Carry Forward
</t>
    </r>
    <r>
      <rPr>
        <sz val="9"/>
        <color rgb="FFFF0000"/>
        <rFont val="Arial Unicode MS"/>
        <family val="2"/>
      </rPr>
      <t>*</t>
    </r>
    <r>
      <rPr>
        <b/>
        <sz val="9"/>
        <color rgb="FFFF0000"/>
        <rFont val="Arial Unicode MS"/>
        <family val="2"/>
      </rPr>
      <t>LAPSES ON 6/30*</t>
    </r>
    <r>
      <rPr>
        <b/>
        <sz val="10"/>
        <rFont val="Calibri"/>
        <family val="2"/>
        <scheme val="minor"/>
      </rPr>
      <t/>
    </r>
  </si>
  <si>
    <t>PLaN</t>
  </si>
  <si>
    <t>STP Flex</t>
  </si>
  <si>
    <t>PLAN</t>
  </si>
  <si>
    <t>STP 5-200</t>
  </si>
  <si>
    <t>HURF Exchange</t>
  </si>
  <si>
    <t>HURF EX</t>
  </si>
  <si>
    <t>OA Ratio (OA/apportionments) /1</t>
  </si>
  <si>
    <t>Fund Type</t>
  </si>
  <si>
    <t xml:space="preserve">Program Category </t>
  </si>
  <si>
    <t>Formula</t>
  </si>
  <si>
    <t xml:space="preserve">SPR (Planning) </t>
  </si>
  <si>
    <t xml:space="preserve">SPR (Research) </t>
  </si>
  <si>
    <t xml:space="preserve">Metropolitan Planning </t>
  </si>
  <si>
    <t xml:space="preserve">STP &lt; 5k </t>
  </si>
  <si>
    <t>Total Formula Apportionments</t>
  </si>
  <si>
    <t>Total Formula OA (@94.9%)</t>
  </si>
  <si>
    <t>Statutory</t>
  </si>
  <si>
    <t>Disc</t>
  </si>
  <si>
    <t>check</t>
  </si>
  <si>
    <t>rounding</t>
  </si>
  <si>
    <t>HSIP is now managed as a competitive program by ADOT.   However,  HSIP funding released off of  projects that were funded from the ledger will be released back onto the ledger.</t>
  </si>
  <si>
    <t>PL-SATO</t>
  </si>
  <si>
    <t>STP 5-50</t>
  </si>
  <si>
    <t>STP 50-200</t>
  </si>
  <si>
    <t>CRP 50-200</t>
  </si>
  <si>
    <t>PLAN SATO</t>
  </si>
  <si>
    <t>Metropolitan Planning - SATO</t>
  </si>
  <si>
    <t xml:space="preserve">STP 5K-200k </t>
  </si>
  <si>
    <t>STP 50K-200K</t>
  </si>
  <si>
    <t>STP 5K-50K</t>
  </si>
  <si>
    <t>CRP 50K-200K</t>
  </si>
  <si>
    <t>SPR (State Planning &amp; Research) apportionment availability for approved work program</t>
  </si>
  <si>
    <t>2024</t>
  </si>
  <si>
    <t>All OA and apportionments are subject to lapse annually on June 30th.</t>
  </si>
  <si>
    <t>Please direct questions regarding federal funding ledgers to ADOT Financial Management Services at</t>
  </si>
  <si>
    <t xml:space="preserve"> resourceadmin@azdot.gov.</t>
  </si>
  <si>
    <t>2025</t>
  </si>
  <si>
    <t>Bullhead City MPO</t>
  </si>
  <si>
    <t>BULLHEAD CITY</t>
  </si>
  <si>
    <t>BHCMPOADOT-24L1</t>
  </si>
  <si>
    <t>BHCMPO</t>
  </si>
  <si>
    <t>BHCMPO CRP 50-200 Loan to ADOT</t>
  </si>
  <si>
    <t>Test Entry</t>
  </si>
  <si>
    <t>BHCMPO FFY24</t>
  </si>
  <si>
    <t>BHCMPO Change</t>
  </si>
  <si>
    <t>BHCMPO OA</t>
  </si>
  <si>
    <t>Planned Lapsing - 06/30/25</t>
  </si>
  <si>
    <t>Lapsed - 07/01/25</t>
  </si>
  <si>
    <t>Planned Lapsing - 09/30/25</t>
  </si>
  <si>
    <t>State FY 25 Approved work program amount</t>
  </si>
  <si>
    <t>State FY 25 amount authorized prior to 09/30/24 or Lapsed funding</t>
  </si>
  <si>
    <t>State FY 25 amount available for authorization 10/01/24 - 06/30/25</t>
  </si>
  <si>
    <t>State FY 26 amount available for authorization 07/1/25 - 09/30/25 (request must be submitted by 09/01/25)</t>
  </si>
  <si>
    <t>Total SPR apportionments for Federal Fiscal Year 25 (as shown on ledger)</t>
  </si>
  <si>
    <t>BHC</t>
  </si>
  <si>
    <t>S</t>
  </si>
  <si>
    <t>1/. This ledger does not track Transit funding. Transit Consolidated Planning Grant (CPG) funding will be added as a footnote here upon receipt of FFY25 allocations.</t>
  </si>
  <si>
    <t xml:space="preserve">(1,986 individuals) and 1,163 of WACOG's rural population to BHCMPO. Prior to the correction, BHCMPO's 5-50K Population was 0, and BHCMPO's &lt;5K population </t>
  </si>
  <si>
    <t>was 7,623. After the adjustment, BHCMPO's 5-50K Population was 1,986, and BHCMPO's &lt;5K population was 8,786. As a result, BHCMPO's STBG 5-50K apportionments increased</t>
  </si>
  <si>
    <t>by $14,602.00, and WACOG's STBG &lt;5K apportionments increased by $6,935 compared to the initial draft FFY25 ledger.</t>
  </si>
  <si>
    <t>2. Slight adjustments to NACOG, WACOG, and Bullhead City MPO (BHCMPO) populations were made in January 2024. This adjustment included the reallocation of Needles' population</t>
  </si>
  <si>
    <t>BHCMPO FFY25</t>
  </si>
  <si>
    <t>PBH2601P</t>
  </si>
  <si>
    <t>BHCMPO FY26/27 Work Program - SPR</t>
  </si>
  <si>
    <t>026</t>
  </si>
  <si>
    <t>TBD</t>
  </si>
  <si>
    <t>AD Convert</t>
  </si>
  <si>
    <t>Federal Fiscal Year 2026</t>
  </si>
  <si>
    <t>BHCMPO FFY26 Est.</t>
  </si>
  <si>
    <t>BHCMPOADOT-25L1</t>
  </si>
  <si>
    <t>2026</t>
  </si>
  <si>
    <t>BHCMPO CRP 50-200K Loan to ADOT</t>
  </si>
  <si>
    <t>BHCMPOADOT-25L2</t>
  </si>
  <si>
    <t>BHCMPO STP &lt;5K Loan to ADOT</t>
  </si>
  <si>
    <t>BHCMPO STP 50-200 Loan to ADOT</t>
  </si>
  <si>
    <t>BHCMPO STP 5-50 Loan to ADOT</t>
  </si>
  <si>
    <t>PBH2602P</t>
  </si>
  <si>
    <t>Various</t>
  </si>
  <si>
    <t>BHCMPO FY26/27 Work Program - PL</t>
  </si>
  <si>
    <t>P</t>
  </si>
  <si>
    <t>PBH26S2P</t>
  </si>
  <si>
    <t>BHCMPO FY26/27 Work Program - PL-SATO</t>
  </si>
  <si>
    <t>Carry Forward to FFY 27</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</si>
  <si>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</si>
  <si>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 xml:space="preserve">Federal Aid Transaction Ledger
</t>
  </si>
  <si>
    <t>PBH2502P</t>
  </si>
  <si>
    <t>BHCMPO FY24/25 Work Program - PL</t>
  </si>
  <si>
    <t>025</t>
  </si>
  <si>
    <t>The FFY 26 OA limitation ratio for the State is 87.4%.  The rate for calculations in FY 2026 for the ledgers is 0.949.  This rate is subject to change in future fiscal years.</t>
  </si>
  <si>
    <t>1. This ledger does not track Transit funding. Transit Consolidated Planning Grant (CPG) funding will be added as a footnote here upon receipt of FFY26 allocations.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</si>
</sst>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8" formatCode="&quot;$&quot;#,##0.00_);[Red]\(&quot;$&quot;#,##0.00\)"/>
    <numFmt numFmtId="44" formatCode="_(&quot;$&quot;* #,##0.00_);_(&quot;$&quot;* \(#,##0.00\);_(&quot;$&quot;* &quot;-&quot;??_);_(@_)"/>
    <numFmt numFmtId="43" formatCode="_(* #,##0.00_);_(* \(#,##0.00\);_(* &quot;-&quot;??_);_(@_)"/>
    <numFmt numFmtId="164" formatCode="mm/dd/yy;@"/>
    <numFmt numFmtId="165" formatCode="mm/dd/yyyy"/>
  </numFmts>
  <fonts count="52">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0"/>
      <name val="Calibri"/>
      <family val="2"/>
      <scheme val="minor"/>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10"/>
      <color theme="0"/>
      <name val="Arial Unicode MS"/>
      <family val="2"/>
    </font>
    <font>
      <b/>
      <sz val="9"/>
      <color theme="0"/>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9"/>
      <color theme="1"/>
      <name val="Arial Unicode MS"/>
      <family val="2"/>
    </font>
    <font>
      <sz val="9"/>
      <name val="Arial Unicode MS"/>
      <family val="2"/>
    </font>
    <font>
      <sz val="11"/>
      <color theme="1"/>
      <name val="Calibri"/>
      <family val="2"/>
      <scheme val="minor"/>
    </font>
    <font>
      <sz val="9"/>
      <name val="Arial"/>
      <family val="2"/>
    </font>
    <font>
      <b/>
      <sz val="9"/>
      <name val="Arial"/>
      <family val="2"/>
    </font>
    <font>
      <sz val="9"/>
      <name val="Arial Unicode MS"/>
      <family val="2"/>
    </font>
    <font>
      <sz val="9"/>
      <name val="Arial Unicode MS"/>
      <family val="2"/>
    </font>
    <font>
      <sz val="10"/>
      <name val="Arial"/>
      <family val="2"/>
    </font>
    <font>
      <sz val="12"/>
      <name val="Times New Roman"/>
      <family val="1"/>
    </font>
    <font>
      <sz val="8"/>
      <name val="Arial"/>
      <family val="2"/>
    </font>
    <font>
      <sz val="10"/>
      <color rgb="FF000000"/>
      <name val="Arial"/>
      <family val="2"/>
    </font>
    <font>
      <sz val="9"/>
      <color theme="1"/>
      <name val="Arial Unicode MS"/>
      <family val="2"/>
    </font>
    <font>
      <sz val="11"/>
      <color theme="1"/>
      <name val="Calibri"/>
      <family val="2"/>
      <scheme val="minor"/>
    </font>
    <font>
      <sz val="11"/>
      <color theme="1"/>
      <name val="Calibri"/>
      <family val="2"/>
      <scheme val="minor"/>
    </font>
    <font>
      <i/>
      <sz val="9"/>
      <color theme="1"/>
      <name val="Arial Unicode MS"/>
      <family val="2"/>
    </font>
    <font>
      <sz val="11"/>
      <color theme="1"/>
      <name val="Calibri"/>
      <family val="2"/>
      <scheme val="minor"/>
    </font>
    <font>
      <sz val="11"/>
      <color rgb="FFFF0000"/>
      <name val="Arial Unicode MS"/>
      <family val="2"/>
    </font>
    <font>
      <sz val="11"/>
      <color theme="1"/>
      <name val="Calibri"/>
      <family val="2"/>
      <scheme val="minor"/>
    </font>
    <font>
      <sz val="11"/>
      <color theme="1"/>
      <name val="Calibri"/>
      <family val="2"/>
      <scheme val="minor"/>
    </font>
    <font>
      <b/>
      <sz val="11"/>
      <color rgb="FFFF0000"/>
      <name val="Calibri"/>
      <family val="2"/>
      <scheme val="minor"/>
    </font>
    <font>
      <sz val="8"/>
      <name val="Wingdings"/>
      <charset val="2"/>
    </font>
    <font>
      <sz val="11"/>
      <name val="Calibri Light"/>
      <family val="2"/>
      <scheme val="maj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39994506668294322"/>
        <bgColor indexed="64"/>
      </patternFill>
    </fill>
    <fill>
      <patternFill patternType="solid">
        <fgColor theme="4" tint="0.39994506668294322"/>
        <bgColor theme="8"/>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7">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0" fontId="37" fillId="0" borderId="0"/>
    <xf numFmtId="0" fontId="37" fillId="0" borderId="0"/>
    <xf numFmtId="0" fontId="38" fillId="0" borderId="0"/>
    <xf numFmtId="0" fontId="39" fillId="0" borderId="0"/>
    <xf numFmtId="43" fontId="39"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7" fillId="0" borderId="0" applyFont="0" applyFill="0" applyBorder="0" applyAlignment="0" applyProtection="0"/>
    <xf numFmtId="0" fontId="40" fillId="0" borderId="0"/>
    <xf numFmtId="0" fontId="37" fillId="0" borderId="0"/>
    <xf numFmtId="0" fontId="40" fillId="0" borderId="0"/>
    <xf numFmtId="0" fontId="37" fillId="0" borderId="0"/>
    <xf numFmtId="0" fontId="40" fillId="0" borderId="0"/>
    <xf numFmtId="0" fontId="40" fillId="0" borderId="0"/>
    <xf numFmtId="0" fontId="40" fillId="0" borderId="0"/>
    <xf numFmtId="0" fontId="40" fillId="0" borderId="0"/>
    <xf numFmtId="0" fontId="40" fillId="0" borderId="0"/>
    <xf numFmtId="0" fontId="40" fillId="0" borderId="0"/>
    <xf numFmtId="0" fontId="3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37" fillId="0" borderId="0"/>
    <xf numFmtId="0" fontId="40" fillId="0" borderId="0"/>
    <xf numFmtId="0" fontId="37" fillId="0" borderId="0"/>
    <xf numFmtId="0" fontId="40" fillId="0" borderId="0"/>
    <xf numFmtId="0" fontId="40" fillId="0" borderId="0"/>
    <xf numFmtId="0" fontId="37" fillId="0" borderId="0"/>
    <xf numFmtId="0" fontId="40" fillId="0" borderId="0"/>
    <xf numFmtId="9" fontId="1" fillId="0" borderId="0" applyFont="0" applyFill="0" applyBorder="0" applyAlignment="0" applyProtection="0"/>
    <xf numFmtId="9" fontId="37" fillId="0" borderId="0" applyFont="0" applyFill="0" applyBorder="0" applyAlignment="0" applyProtection="0"/>
    <xf numFmtId="0" fontId="37" fillId="0" borderId="0"/>
    <xf numFmtId="9" fontId="1" fillId="0" borderId="0" applyFont="0" applyFill="0" applyBorder="0" applyAlignment="0" applyProtection="0"/>
    <xf numFmtId="43" fontId="37" fillId="0" borderId="0" applyFont="0" applyFill="0" applyBorder="0" applyAlignment="0" applyProtection="0"/>
  </cellStyleXfs>
  <cellXfs count="212">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1"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9"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1" fillId="0" borderId="0" xfId="0" applyFont="1" applyAlignment="1">
      <alignment vertical="top" wrapText="1"/>
    </xf>
    <xf numFmtId="14" fontId="11" fillId="0" borderId="0" xfId="0" applyNumberFormat="1" applyFont="1" applyAlignment="1">
      <alignment vertical="top" wrapText="1"/>
    </xf>
    <xf numFmtId="14" fontId="12" fillId="0" borderId="0" xfId="0" applyNumberFormat="1" applyFont="1" applyAlignment="1">
      <alignment horizontal="center" vertical="center" wrapText="1"/>
    </xf>
    <xf numFmtId="40" fontId="11" fillId="0" borderId="0" xfId="0" applyNumberFormat="1" applyFont="1" applyAlignment="1">
      <alignment vertical="top" wrapText="1"/>
    </xf>
    <xf numFmtId="0" fontId="13" fillId="0" borderId="0" xfId="0" applyFont="1" applyAlignment="1">
      <alignment vertical="top" wrapText="1"/>
    </xf>
    <xf numFmtId="40" fontId="21" fillId="0" borderId="0" xfId="0" applyNumberFormat="1" applyFont="1" applyAlignment="1">
      <alignment vertical="top" wrapText="1"/>
    </xf>
    <xf numFmtId="14" fontId="11" fillId="0" borderId="0" xfId="0" applyNumberFormat="1" applyFont="1" applyAlignment="1">
      <alignment horizontal="left" vertical="center" wrapText="1"/>
    </xf>
    <xf numFmtId="40" fontId="20" fillId="0" borderId="0" xfId="0" applyNumberFormat="1" applyFont="1" applyAlignment="1">
      <alignment horizontal="left" vertical="top" wrapText="1"/>
    </xf>
    <xf numFmtId="40" fontId="20" fillId="0" borderId="0" xfId="0" applyNumberFormat="1" applyFont="1" applyAlignment="1">
      <alignment horizontal="right" vertical="top" wrapText="1"/>
    </xf>
    <xf numFmtId="40" fontId="13" fillId="0" borderId="0" xfId="0" applyNumberFormat="1" applyFont="1" applyAlignment="1">
      <alignment vertical="top" wrapText="1"/>
    </xf>
    <xf numFmtId="40" fontId="15" fillId="0" borderId="0" xfId="0" applyNumberFormat="1" applyFont="1" applyAlignment="1">
      <alignment horizontal="center" vertical="center" wrapText="1"/>
    </xf>
    <xf numFmtId="40" fontId="14" fillId="0" borderId="0" xfId="0" applyNumberFormat="1" applyFont="1" applyAlignment="1">
      <alignment horizontal="center" vertical="center" wrapText="1"/>
    </xf>
    <xf numFmtId="0" fontId="17" fillId="0" borderId="0" xfId="0" applyFont="1" applyAlignment="1">
      <alignment vertical="top" wrapText="1"/>
    </xf>
    <xf numFmtId="0" fontId="21" fillId="0" borderId="0" xfId="0" applyFont="1" applyAlignment="1">
      <alignment vertical="top" wrapText="1"/>
    </xf>
    <xf numFmtId="0" fontId="21" fillId="0" borderId="0" xfId="0" applyFont="1" applyAlignment="1">
      <alignment horizontal="center" vertical="center" wrapText="1"/>
    </xf>
    <xf numFmtId="40" fontId="21" fillId="0" borderId="0" xfId="0" applyNumberFormat="1" applyFont="1"/>
    <xf numFmtId="40" fontId="21" fillId="0" borderId="0" xfId="0" applyNumberFormat="1" applyFont="1" applyAlignment="1">
      <alignment horizontal="center" vertical="center" wrapText="1"/>
    </xf>
    <xf numFmtId="40" fontId="17" fillId="0" borderId="0" xfId="0" applyNumberFormat="1" applyFont="1" applyAlignment="1">
      <alignment vertical="top" wrapText="1"/>
    </xf>
    <xf numFmtId="0" fontId="25" fillId="0" borderId="0" xfId="0" applyFont="1" applyAlignment="1">
      <alignment horizontal="left" vertical="top"/>
    </xf>
    <xf numFmtId="43" fontId="0" fillId="0" borderId="1" xfId="3" applyFont="1" applyBorder="1"/>
    <xf numFmtId="43" fontId="10" fillId="0" borderId="1" xfId="3" applyFont="1" applyBorder="1"/>
    <xf numFmtId="43" fontId="0" fillId="0" borderId="9" xfId="3" applyFont="1" applyBorder="1"/>
    <xf numFmtId="43" fontId="10" fillId="0" borderId="9" xfId="3" applyFont="1" applyBorder="1"/>
    <xf numFmtId="14" fontId="0" fillId="0" borderId="0" xfId="3" applyNumberFormat="1" applyFont="1" applyAlignment="1">
      <alignment horizontal="left" vertical="center" wrapText="1"/>
    </xf>
    <xf numFmtId="14" fontId="11" fillId="0" borderId="0" xfId="0" applyNumberFormat="1" applyFont="1" applyAlignment="1">
      <alignment vertical="center" wrapText="1"/>
    </xf>
    <xf numFmtId="43" fontId="10" fillId="0" borderId="0" xfId="3" applyFont="1" applyBorder="1"/>
    <xf numFmtId="43" fontId="10" fillId="0" borderId="0" xfId="3" applyFont="1"/>
    <xf numFmtId="43" fontId="0" fillId="0" borderId="8" xfId="3" applyFont="1" applyBorder="1"/>
    <xf numFmtId="43" fontId="0" fillId="0" borderId="5" xfId="3" applyFont="1" applyBorder="1"/>
    <xf numFmtId="14" fontId="17" fillId="0" borderId="0" xfId="0" applyNumberFormat="1" applyFont="1" applyAlignment="1">
      <alignment horizontal="center"/>
    </xf>
    <xf numFmtId="40" fontId="17" fillId="0" borderId="0" xfId="0" applyNumberFormat="1" applyFont="1" applyAlignment="1">
      <alignment horizontal="center" vertical="center" wrapText="1"/>
    </xf>
    <xf numFmtId="40" fontId="23" fillId="0" borderId="5" xfId="0" applyNumberFormat="1" applyFont="1" applyBorder="1" applyAlignment="1">
      <alignment horizontal="right" vertical="top" wrapText="1"/>
    </xf>
    <xf numFmtId="40" fontId="23" fillId="0" borderId="1" xfId="0" applyNumberFormat="1" applyFont="1" applyBorder="1" applyAlignment="1">
      <alignment horizontal="right" vertical="top" wrapText="1"/>
    </xf>
    <xf numFmtId="43" fontId="11" fillId="0" borderId="0" xfId="3" applyFont="1" applyAlignment="1">
      <alignment vertical="top" wrapText="1"/>
    </xf>
    <xf numFmtId="0" fontId="17" fillId="0" borderId="0" xfId="0" applyFont="1" applyAlignment="1">
      <alignment horizontal="center" vertical="center" wrapText="1"/>
    </xf>
    <xf numFmtId="0" fontId="11" fillId="0" borderId="0" xfId="0" applyFont="1" applyAlignment="1">
      <alignment horizontal="left" vertical="center"/>
    </xf>
    <xf numFmtId="14" fontId="19" fillId="0" borderId="0" xfId="0" applyNumberFormat="1" applyFont="1" applyAlignment="1">
      <alignment horizontal="right" vertical="top"/>
    </xf>
    <xf numFmtId="14" fontId="23" fillId="0" borderId="0" xfId="0" applyNumberFormat="1" applyFont="1" applyAlignment="1">
      <alignment horizontal="right" vertical="top"/>
    </xf>
    <xf numFmtId="40" fontId="17" fillId="0" borderId="1" xfId="0" applyNumberFormat="1" applyFont="1" applyBorder="1" applyAlignment="1">
      <alignment horizontal="right" vertical="top"/>
    </xf>
    <xf numFmtId="40" fontId="23" fillId="0" borderId="0" xfId="0" applyNumberFormat="1" applyFont="1" applyAlignment="1">
      <alignment vertical="top" wrapText="1"/>
    </xf>
    <xf numFmtId="14" fontId="23" fillId="2" borderId="6" xfId="0" applyNumberFormat="1" applyFont="1" applyFill="1" applyBorder="1" applyAlignment="1">
      <alignment horizontal="center" vertical="center" wrapText="1"/>
    </xf>
    <xf numFmtId="43" fontId="27" fillId="0" borderId="0" xfId="3" applyFont="1"/>
    <xf numFmtId="43" fontId="27" fillId="0" borderId="12" xfId="3" applyFont="1" applyBorder="1"/>
    <xf numFmtId="43" fontId="27" fillId="0" borderId="13" xfId="3" applyFont="1" applyBorder="1"/>
    <xf numFmtId="43" fontId="0" fillId="0" borderId="10" xfId="3" applyFont="1" applyBorder="1"/>
    <xf numFmtId="43" fontId="0" fillId="0" borderId="12" xfId="3" applyFont="1" applyBorder="1"/>
    <xf numFmtId="43" fontId="0" fillId="0" borderId="6" xfId="3" applyFont="1" applyBorder="1"/>
    <xf numFmtId="43" fontId="0" fillId="0" borderId="13" xfId="3" applyFont="1" applyBorder="1"/>
    <xf numFmtId="43" fontId="28" fillId="0" borderId="0" xfId="3" applyFont="1"/>
    <xf numFmtId="40" fontId="17" fillId="4" borderId="1" xfId="0" applyNumberFormat="1" applyFont="1" applyFill="1" applyBorder="1" applyAlignment="1">
      <alignment horizontal="right" vertical="top"/>
    </xf>
    <xf numFmtId="40" fontId="16" fillId="5" borderId="6" xfId="0" applyNumberFormat="1" applyFont="1" applyFill="1" applyBorder="1" applyAlignment="1">
      <alignment horizontal="center" vertical="center" wrapText="1"/>
    </xf>
    <xf numFmtId="40" fontId="24" fillId="0" borderId="0" xfId="0" applyNumberFormat="1" applyFont="1" applyAlignment="1">
      <alignment horizontal="left" vertical="top" wrapText="1"/>
    </xf>
    <xf numFmtId="165" fontId="17" fillId="0" borderId="0" xfId="0" applyNumberFormat="1" applyFont="1" applyAlignment="1">
      <alignment horizontal="center" vertical="center"/>
    </xf>
    <xf numFmtId="165" fontId="17" fillId="0" borderId="0" xfId="0" applyNumberFormat="1" applyFont="1" applyAlignment="1">
      <alignment horizontal="center" vertical="center" wrapText="1"/>
    </xf>
    <xf numFmtId="43" fontId="29" fillId="0" borderId="0" xfId="3" applyFont="1" applyBorder="1"/>
    <xf numFmtId="43" fontId="29" fillId="0" borderId="0" xfId="3" applyFont="1"/>
    <xf numFmtId="164" fontId="24" fillId="0" borderId="0" xfId="0" applyNumberFormat="1" applyFont="1" applyAlignment="1">
      <alignment horizontal="center" vertical="top"/>
    </xf>
    <xf numFmtId="40" fontId="17" fillId="0" borderId="0" xfId="0" applyNumberFormat="1" applyFont="1"/>
    <xf numFmtId="40" fontId="24" fillId="0" borderId="0" xfId="0" applyNumberFormat="1" applyFont="1" applyAlignment="1">
      <alignment vertical="top" wrapText="1"/>
    </xf>
    <xf numFmtId="164" fontId="24" fillId="0" borderId="0" xfId="0" applyNumberFormat="1" applyFont="1" applyAlignment="1">
      <alignment horizontal="center" vertical="top" wrapText="1"/>
    </xf>
    <xf numFmtId="40" fontId="17" fillId="0" borderId="1" xfId="0" applyNumberFormat="1" applyFont="1" applyBorder="1"/>
    <xf numFmtId="40" fontId="24" fillId="0" borderId="0" xfId="0" applyNumberFormat="1" applyFont="1"/>
    <xf numFmtId="40" fontId="17" fillId="0" borderId="5" xfId="0" applyNumberFormat="1" applyFont="1" applyBorder="1"/>
    <xf numFmtId="40" fontId="30" fillId="0" borderId="0" xfId="0" applyNumberFormat="1" applyFont="1" applyAlignment="1">
      <alignment vertical="top" wrapText="1"/>
    </xf>
    <xf numFmtId="40" fontId="31" fillId="0" borderId="0" xfId="0" applyNumberFormat="1" applyFont="1" applyAlignment="1">
      <alignment horizontal="left" vertical="top" wrapText="1"/>
    </xf>
    <xf numFmtId="40" fontId="30" fillId="0" borderId="0" xfId="0" applyNumberFormat="1" applyFont="1" applyAlignment="1">
      <alignment horizontal="center" vertical="top" wrapText="1"/>
    </xf>
    <xf numFmtId="40" fontId="31" fillId="0" borderId="0" xfId="0" applyNumberFormat="1" applyFont="1" applyAlignment="1">
      <alignment horizontal="center" vertical="top" wrapText="1"/>
    </xf>
    <xf numFmtId="164" fontId="31" fillId="0" borderId="0" xfId="0" applyNumberFormat="1" applyFont="1" applyAlignment="1">
      <alignment horizontal="center" vertical="top" wrapText="1"/>
    </xf>
    <xf numFmtId="164" fontId="31" fillId="0" borderId="0" xfId="0" applyNumberFormat="1" applyFont="1" applyAlignment="1">
      <alignment horizontal="center" vertical="top"/>
    </xf>
    <xf numFmtId="40" fontId="31" fillId="0" borderId="0" xfId="0" applyNumberFormat="1" applyFont="1"/>
    <xf numFmtId="40" fontId="30" fillId="0" borderId="0" xfId="0" applyNumberFormat="1" applyFont="1"/>
    <xf numFmtId="43" fontId="32" fillId="0" borderId="0" xfId="3" applyFont="1"/>
    <xf numFmtId="38" fontId="33" fillId="0" borderId="16" xfId="0" applyNumberFormat="1" applyFont="1" applyBorder="1" applyAlignment="1">
      <alignment horizontal="center" vertical="center" wrapText="1"/>
    </xf>
    <xf numFmtId="14" fontId="16" fillId="0" borderId="7" xfId="1" applyNumberFormat="1" applyFont="1" applyBorder="1" applyAlignment="1">
      <alignment horizontal="center" vertical="center" wrapText="1"/>
    </xf>
    <xf numFmtId="14" fontId="16" fillId="0" borderId="22" xfId="1" applyNumberFormat="1" applyFont="1" applyBorder="1" applyAlignment="1">
      <alignment horizontal="center" vertical="center" wrapText="1"/>
    </xf>
    <xf numFmtId="40" fontId="16" fillId="0" borderId="7" xfId="1" applyNumberFormat="1" applyFont="1" applyBorder="1" applyAlignment="1">
      <alignment horizontal="center" vertical="center" wrapText="1"/>
    </xf>
    <xf numFmtId="14" fontId="17" fillId="4" borderId="7" xfId="0" applyNumberFormat="1" applyFont="1" applyFill="1" applyBorder="1" applyAlignment="1">
      <alignment horizontal="left" vertical="top" wrapText="1"/>
    </xf>
    <xf numFmtId="40" fontId="17" fillId="4" borderId="22" xfId="0" applyNumberFormat="1" applyFont="1" applyFill="1" applyBorder="1" applyAlignment="1">
      <alignment horizontal="right" vertical="top"/>
    </xf>
    <xf numFmtId="40" fontId="17" fillId="4" borderId="7" xfId="0" applyNumberFormat="1" applyFont="1" applyFill="1" applyBorder="1" applyAlignment="1">
      <alignment horizontal="right" vertical="top"/>
    </xf>
    <xf numFmtId="14" fontId="17" fillId="0" borderId="7" xfId="0" applyNumberFormat="1" applyFont="1" applyBorder="1" applyAlignment="1">
      <alignment horizontal="left" vertical="top" wrapText="1"/>
    </xf>
    <xf numFmtId="40" fontId="17" fillId="0" borderId="22" xfId="0" applyNumberFormat="1" applyFont="1" applyBorder="1" applyAlignment="1">
      <alignment horizontal="right" vertical="top"/>
    </xf>
    <xf numFmtId="40" fontId="17" fillId="0" borderId="7" xfId="0" applyNumberFormat="1" applyFont="1" applyBorder="1" applyAlignment="1">
      <alignment horizontal="right" vertical="top"/>
    </xf>
    <xf numFmtId="40" fontId="17" fillId="2" borderId="7" xfId="0" applyNumberFormat="1" applyFont="1" applyFill="1" applyBorder="1" applyAlignment="1">
      <alignment horizontal="right" vertical="top"/>
    </xf>
    <xf numFmtId="40" fontId="17" fillId="4" borderId="22" xfId="0" applyNumberFormat="1" applyFont="1" applyFill="1" applyBorder="1" applyAlignment="1">
      <alignment vertical="top"/>
    </xf>
    <xf numFmtId="40" fontId="17" fillId="4" borderId="7" xfId="0" applyNumberFormat="1" applyFont="1" applyFill="1" applyBorder="1" applyAlignment="1">
      <alignment vertical="top"/>
    </xf>
    <xf numFmtId="40" fontId="17" fillId="0" borderId="22" xfId="0" applyNumberFormat="1" applyFont="1" applyBorder="1" applyAlignment="1">
      <alignment vertical="top"/>
    </xf>
    <xf numFmtId="40" fontId="17" fillId="0" borderId="7" xfId="0" applyNumberFormat="1" applyFont="1" applyBorder="1" applyAlignment="1">
      <alignment vertical="top"/>
    </xf>
    <xf numFmtId="14" fontId="23" fillId="4" borderId="2" xfId="0" applyNumberFormat="1" applyFont="1" applyFill="1" applyBorder="1" applyAlignment="1">
      <alignment horizontal="left" vertical="top" wrapText="1"/>
    </xf>
    <xf numFmtId="40" fontId="23" fillId="4" borderId="23" xfId="0" applyNumberFormat="1" applyFont="1" applyFill="1" applyBorder="1" applyAlignment="1">
      <alignment horizontal="right" vertical="top"/>
    </xf>
    <xf numFmtId="40" fontId="23" fillId="4" borderId="2" xfId="0" applyNumberFormat="1" applyFont="1" applyFill="1" applyBorder="1" applyAlignment="1">
      <alignment horizontal="right" vertical="top"/>
    </xf>
    <xf numFmtId="164" fontId="35" fillId="0" borderId="0" xfId="0" applyNumberFormat="1" applyFont="1" applyAlignment="1">
      <alignment horizontal="center" vertical="top" wrapText="1"/>
    </xf>
    <xf numFmtId="40" fontId="16" fillId="0" borderId="24" xfId="1" applyNumberFormat="1" applyFont="1" applyFill="1" applyBorder="1" applyAlignment="1">
      <alignment horizontal="center" vertical="center" wrapText="1"/>
    </xf>
    <xf numFmtId="40" fontId="17" fillId="4" borderId="24" xfId="0" applyNumberFormat="1" applyFont="1" applyFill="1" applyBorder="1" applyAlignment="1">
      <alignment horizontal="right" vertical="top"/>
    </xf>
    <xf numFmtId="40" fontId="17" fillId="0" borderId="24" xfId="0" applyNumberFormat="1" applyFont="1" applyBorder="1" applyAlignment="1">
      <alignment horizontal="right" vertical="top"/>
    </xf>
    <xf numFmtId="40" fontId="17" fillId="4" borderId="24" xfId="0" applyNumberFormat="1" applyFont="1" applyFill="1" applyBorder="1" applyAlignment="1">
      <alignment vertical="top"/>
    </xf>
    <xf numFmtId="40" fontId="17" fillId="0" borderId="24" xfId="0" applyNumberFormat="1" applyFont="1" applyBorder="1" applyAlignment="1">
      <alignment vertical="top"/>
    </xf>
    <xf numFmtId="40" fontId="23" fillId="4" borderId="3" xfId="0" applyNumberFormat="1" applyFont="1" applyFill="1" applyBorder="1" applyAlignment="1">
      <alignment horizontal="right" vertical="top"/>
    </xf>
    <xf numFmtId="164" fontId="36" fillId="0" borderId="0" xfId="0" applyNumberFormat="1" applyFont="1" applyAlignment="1">
      <alignment horizontal="center"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40" fontId="41" fillId="0" borderId="0" xfId="0" applyNumberFormat="1" applyFont="1" applyAlignment="1">
      <alignment vertical="top" wrapText="1"/>
    </xf>
    <xf numFmtId="165" fontId="41" fillId="0" borderId="0" xfId="0" applyNumberFormat="1" applyFont="1" applyAlignment="1">
      <alignment horizontal="center" vertical="center"/>
    </xf>
    <xf numFmtId="43" fontId="42" fillId="0" borderId="0" xfId="3" applyFont="1" applyBorder="1"/>
    <xf numFmtId="43" fontId="42" fillId="0" borderId="0" xfId="3" applyFont="1"/>
    <xf numFmtId="40" fontId="41" fillId="0" borderId="0" xfId="0" applyNumberFormat="1" applyFont="1" applyAlignment="1">
      <alignment horizontal="center" vertical="center" wrapText="1"/>
    </xf>
    <xf numFmtId="14" fontId="13" fillId="0" borderId="0" xfId="0" applyNumberFormat="1" applyFont="1" applyAlignment="1">
      <alignment vertical="top" wrapText="1"/>
    </xf>
    <xf numFmtId="40" fontId="17" fillId="0" borderId="0" xfId="0" applyNumberFormat="1" applyFont="1" applyAlignment="1">
      <alignment horizontal="right"/>
    </xf>
    <xf numFmtId="0" fontId="11" fillId="0" borderId="0" xfId="0" applyFont="1" applyAlignment="1">
      <alignment horizontal="left" vertical="top"/>
    </xf>
    <xf numFmtId="14" fontId="23" fillId="0" borderId="1" xfId="0" applyNumberFormat="1" applyFont="1" applyBorder="1" applyAlignment="1">
      <alignment horizontal="right" vertical="top"/>
    </xf>
    <xf numFmtId="14" fontId="23" fillId="0" borderId="1" xfId="0" applyNumberFormat="1" applyFont="1" applyBorder="1" applyAlignment="1">
      <alignment horizontal="right" vertical="top" wrapText="1"/>
    </xf>
    <xf numFmtId="0" fontId="33" fillId="0" borderId="2" xfId="0" applyFont="1" applyBorder="1" applyAlignment="1">
      <alignment vertical="top" wrapText="1"/>
    </xf>
    <xf numFmtId="38" fontId="34" fillId="0" borderId="2" xfId="0" applyNumberFormat="1" applyFont="1" applyBorder="1" applyAlignment="1">
      <alignment horizontal="right" vertical="top" wrapText="1"/>
    </xf>
    <xf numFmtId="43" fontId="43" fillId="0" borderId="0" xfId="3" applyFont="1"/>
    <xf numFmtId="9" fontId="0" fillId="0" borderId="0" xfId="45" applyFont="1"/>
    <xf numFmtId="8" fontId="0" fillId="0" borderId="0" xfId="0" applyNumberFormat="1"/>
    <xf numFmtId="40" fontId="20" fillId="0" borderId="25" xfId="0" applyNumberFormat="1" applyFont="1" applyBorder="1" applyAlignment="1">
      <alignment vertical="top" wrapText="1"/>
    </xf>
    <xf numFmtId="40" fontId="20" fillId="0" borderId="0" xfId="0" applyNumberFormat="1" applyFont="1" applyAlignment="1">
      <alignment vertical="top" wrapText="1"/>
    </xf>
    <xf numFmtId="2" fontId="31" fillId="0" borderId="0" xfId="0" applyNumberFormat="1" applyFont="1" applyAlignment="1">
      <alignment horizontal="center" vertical="top"/>
    </xf>
    <xf numFmtId="40" fontId="44" fillId="0" borderId="0" xfId="0" applyNumberFormat="1" applyFont="1" applyAlignment="1">
      <alignment vertical="top" wrapText="1"/>
    </xf>
    <xf numFmtId="40" fontId="17" fillId="0" borderId="0" xfId="0" applyNumberFormat="1" applyFont="1" applyAlignment="1">
      <alignment horizontal="center" vertical="top" wrapText="1"/>
    </xf>
    <xf numFmtId="40" fontId="24" fillId="0" borderId="0" xfId="0" applyNumberFormat="1" applyFont="1" applyAlignment="1">
      <alignment horizontal="center" vertical="top" wrapText="1"/>
    </xf>
    <xf numFmtId="2" fontId="24" fillId="0" borderId="0" xfId="0" applyNumberFormat="1" applyFont="1" applyAlignment="1">
      <alignment horizontal="center" vertical="top"/>
    </xf>
    <xf numFmtId="43" fontId="24" fillId="0" borderId="0" xfId="3" applyFont="1" applyAlignment="1">
      <alignment horizontal="center"/>
    </xf>
    <xf numFmtId="38" fontId="33" fillId="8" borderId="1" xfId="0" applyNumberFormat="1" applyFont="1" applyFill="1" applyBorder="1" applyAlignment="1">
      <alignment vertical="top"/>
    </xf>
    <xf numFmtId="38" fontId="33" fillId="7" borderId="3" xfId="0" applyNumberFormat="1" applyFont="1" applyFill="1" applyBorder="1" applyAlignment="1">
      <alignment vertical="top"/>
    </xf>
    <xf numFmtId="38" fontId="0" fillId="0" borderId="0" xfId="0" applyNumberFormat="1"/>
    <xf numFmtId="38" fontId="33" fillId="0" borderId="3" xfId="0" applyNumberFormat="1" applyFont="1" applyBorder="1" applyAlignment="1">
      <alignment vertical="top"/>
    </xf>
    <xf numFmtId="38" fontId="33" fillId="0" borderId="1" xfId="0" applyNumberFormat="1" applyFont="1" applyBorder="1" applyAlignment="1">
      <alignment vertical="top"/>
    </xf>
    <xf numFmtId="38" fontId="33" fillId="0" borderId="4" xfId="0" applyNumberFormat="1" applyFont="1" applyBorder="1" applyAlignment="1">
      <alignment vertical="top"/>
    </xf>
    <xf numFmtId="38" fontId="33" fillId="0" borderId="3" xfId="0" applyNumberFormat="1" applyFont="1" applyBorder="1" applyAlignment="1">
      <alignment horizontal="right" vertical="top"/>
    </xf>
    <xf numFmtId="38" fontId="33" fillId="0" borderId="21" xfId="0" applyNumberFormat="1" applyFont="1" applyBorder="1" applyAlignment="1">
      <alignment vertical="top"/>
    </xf>
    <xf numFmtId="43" fontId="45" fillId="0" borderId="0" xfId="3" applyFont="1"/>
    <xf numFmtId="0" fontId="46" fillId="0" borderId="0" xfId="0" applyFont="1" applyAlignment="1">
      <alignment vertical="top"/>
    </xf>
    <xf numFmtId="0" fontId="0" fillId="0" borderId="0" xfId="0" applyAlignment="1">
      <alignment horizontal="left" vertical="top"/>
    </xf>
    <xf numFmtId="40" fontId="41" fillId="0" borderId="0" xfId="0" applyNumberFormat="1" applyFont="1" applyAlignment="1">
      <alignment horizontal="right"/>
    </xf>
    <xf numFmtId="43" fontId="47" fillId="0" borderId="0" xfId="3" applyFont="1"/>
    <xf numFmtId="38" fontId="33" fillId="6" borderId="34" xfId="0" applyNumberFormat="1" applyFont="1" applyFill="1" applyBorder="1" applyAlignment="1">
      <alignment horizontal="center" vertical="center" wrapText="1"/>
    </xf>
    <xf numFmtId="38" fontId="33" fillId="0" borderId="1" xfId="0" applyNumberFormat="1" applyFont="1" applyBorder="1" applyAlignment="1">
      <alignment horizontal="right" vertical="top"/>
    </xf>
    <xf numFmtId="38" fontId="33" fillId="3" borderId="16" xfId="3" applyNumberFormat="1" applyFont="1" applyFill="1" applyBorder="1" applyAlignment="1">
      <alignment horizontal="center" vertical="center"/>
    </xf>
    <xf numFmtId="38" fontId="33" fillId="3" borderId="17" xfId="3" applyNumberFormat="1" applyFont="1" applyFill="1" applyBorder="1" applyAlignment="1">
      <alignment horizontal="center" vertical="center"/>
    </xf>
    <xf numFmtId="38" fontId="33" fillId="3" borderId="30" xfId="3" applyNumberFormat="1" applyFont="1" applyFill="1" applyBorder="1" applyAlignment="1">
      <alignment horizontal="center" vertical="center"/>
    </xf>
    <xf numFmtId="38" fontId="33" fillId="0" borderId="4" xfId="0" applyNumberFormat="1" applyFont="1" applyBorder="1" applyAlignment="1">
      <alignment horizontal="right" vertical="top"/>
    </xf>
    <xf numFmtId="0" fontId="11" fillId="0" borderId="0" xfId="0" applyFont="1" applyAlignment="1">
      <alignment horizontal="center" vertical="top" wrapText="1"/>
    </xf>
    <xf numFmtId="0" fontId="13" fillId="0" borderId="0" xfId="0" applyFont="1" applyAlignment="1">
      <alignment horizontal="center" vertical="top" wrapText="1"/>
    </xf>
    <xf numFmtId="0" fontId="21" fillId="0" borderId="0" xfId="0" applyFont="1" applyAlignment="1">
      <alignment horizontal="center" vertical="top" wrapText="1"/>
    </xf>
    <xf numFmtId="0" fontId="17" fillId="0" borderId="0" xfId="0" applyFont="1" applyAlignment="1">
      <alignment horizontal="center" vertical="top" wrapText="1"/>
    </xf>
    <xf numFmtId="40" fontId="20" fillId="0" borderId="0" xfId="0" applyNumberFormat="1" applyFont="1" applyAlignment="1">
      <alignment horizontal="center" vertical="top" wrapText="1"/>
    </xf>
    <xf numFmtId="38" fontId="33" fillId="0" borderId="32" xfId="0" applyNumberFormat="1" applyFont="1" applyBorder="1" applyAlignment="1">
      <alignment vertical="top"/>
    </xf>
    <xf numFmtId="38" fontId="34" fillId="0" borderId="35" xfId="0" applyNumberFormat="1" applyFont="1" applyBorder="1" applyAlignment="1">
      <alignment horizontal="right" vertical="center"/>
    </xf>
    <xf numFmtId="43" fontId="48" fillId="0" borderId="0" xfId="3" applyFont="1"/>
    <xf numFmtId="43" fontId="48" fillId="0" borderId="9" xfId="3" applyFont="1" applyBorder="1"/>
    <xf numFmtId="43" fontId="48" fillId="0" borderId="1" xfId="3" applyFont="1" applyBorder="1"/>
    <xf numFmtId="43" fontId="48" fillId="0" borderId="10" xfId="3" applyFont="1" applyBorder="1"/>
    <xf numFmtId="43" fontId="48" fillId="0" borderId="6" xfId="3" applyFont="1" applyBorder="1"/>
    <xf numFmtId="40" fontId="20" fillId="0" borderId="11" xfId="0" applyNumberFormat="1" applyFont="1" applyBorder="1" applyAlignment="1">
      <alignment horizontal="center" vertical="top" wrapText="1"/>
    </xf>
    <xf numFmtId="40" fontId="13" fillId="0" borderId="26" xfId="0" applyNumberFormat="1" applyFont="1" applyBorder="1" applyAlignment="1">
      <alignment horizontal="center" vertical="center" wrapText="1"/>
    </xf>
    <xf numFmtId="0" fontId="25" fillId="0" borderId="0" xfId="0" applyFont="1" applyAlignment="1">
      <alignment horizontal="left" vertical="top" wrapText="1"/>
    </xf>
    <xf numFmtId="0" fontId="5" fillId="0" borderId="0" xfId="0" applyFont="1" applyAlignment="1">
      <alignment horizontal="left" vertical="top" wrapText="1"/>
    </xf>
    <xf numFmtId="14" fontId="13" fillId="0" borderId="2" xfId="0" applyNumberFormat="1" applyFont="1" applyBorder="1" applyAlignment="1">
      <alignment horizontal="center" vertical="top" wrapText="1"/>
    </xf>
    <xf numFmtId="14" fontId="13" fillId="0" borderId="27" xfId="0" applyNumberFormat="1" applyFont="1" applyBorder="1" applyAlignment="1">
      <alignment horizontal="center" vertical="top" wrapText="1"/>
    </xf>
    <xf numFmtId="14" fontId="13" fillId="0" borderId="9" xfId="0" applyNumberFormat="1" applyFont="1" applyBorder="1" applyAlignment="1">
      <alignment horizontal="center" vertical="top" wrapText="1"/>
    </xf>
    <xf numFmtId="40" fontId="26" fillId="5" borderId="18" xfId="1" applyNumberFormat="1" applyFont="1" applyFill="1" applyBorder="1" applyAlignment="1">
      <alignment horizontal="center" vertical="center" wrapText="1"/>
    </xf>
    <xf numFmtId="40" fontId="26" fillId="5" borderId="19" xfId="1" applyNumberFormat="1" applyFont="1" applyFill="1" applyBorder="1" applyAlignment="1">
      <alignment horizontal="center" vertical="center" wrapText="1"/>
    </xf>
    <xf numFmtId="40" fontId="26" fillId="5" borderId="20" xfId="1" applyNumberFormat="1" applyFont="1" applyFill="1" applyBorder="1" applyAlignment="1">
      <alignment horizontal="center" vertical="center" wrapText="1"/>
    </xf>
    <xf numFmtId="0" fontId="11" fillId="0" borderId="0" xfId="0" applyFont="1" applyAlignment="1">
      <alignment horizontal="left" vertical="top" wrapText="1"/>
    </xf>
    <xf numFmtId="0" fontId="13"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2" borderId="0" xfId="0" applyFill="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xf>
    <xf numFmtId="0" fontId="0" fillId="3" borderId="0" xfId="0" applyFill="1" applyAlignment="1">
      <alignment horizontal="left" vertical="top" wrapText="1"/>
    </xf>
    <xf numFmtId="0" fontId="2" fillId="0" borderId="0" xfId="0" applyFont="1" applyAlignment="1">
      <alignment horizontal="center" vertical="top" wrapText="1"/>
    </xf>
    <xf numFmtId="0" fontId="0" fillId="0" borderId="0" xfId="0" applyAlignment="1">
      <alignment horizontal="left" vertical="top"/>
    </xf>
    <xf numFmtId="0" fontId="2" fillId="0" borderId="0" xfId="0" applyFont="1" applyAlignment="1">
      <alignment horizontal="left" vertical="top" wrapText="1"/>
    </xf>
    <xf numFmtId="0" fontId="49" fillId="2" borderId="0" xfId="0" applyFont="1" applyFill="1" applyAlignment="1">
      <alignment horizontal="left" vertical="top" wrapText="1"/>
    </xf>
    <xf numFmtId="38" fontId="33" fillId="0" borderId="14" xfId="0" applyNumberFormat="1" applyFont="1" applyBorder="1" applyAlignment="1">
      <alignment horizontal="left" vertical="center" wrapText="1"/>
    </xf>
    <xf numFmtId="38" fontId="33" fillId="0" borderId="15" xfId="0" applyNumberFormat="1" applyFont="1" applyBorder="1" applyAlignment="1">
      <alignment horizontal="left" vertical="center" wrapText="1"/>
    </xf>
    <xf numFmtId="38" fontId="34" fillId="3" borderId="28" xfId="0" applyNumberFormat="1" applyFont="1" applyFill="1" applyBorder="1" applyAlignment="1">
      <alignment horizontal="center" vertical="center"/>
    </xf>
    <xf numFmtId="38" fontId="34" fillId="3" borderId="29" xfId="0" applyNumberFormat="1" applyFont="1" applyFill="1" applyBorder="1" applyAlignment="1">
      <alignment horizontal="center" vertical="center"/>
    </xf>
    <xf numFmtId="38" fontId="34" fillId="3" borderId="31" xfId="0" applyNumberFormat="1" applyFont="1" applyFill="1" applyBorder="1" applyAlignment="1">
      <alignment horizontal="center" vertical="center"/>
    </xf>
    <xf numFmtId="38" fontId="34" fillId="3" borderId="32" xfId="0" applyNumberFormat="1" applyFont="1" applyFill="1" applyBorder="1" applyAlignment="1">
      <alignment horizontal="center" vertical="top"/>
    </xf>
    <xf numFmtId="38" fontId="34" fillId="3" borderId="33" xfId="0" applyNumberFormat="1" applyFont="1" applyFill="1" applyBorder="1" applyAlignment="1">
      <alignment horizontal="center" vertical="top"/>
    </xf>
  </cellXfs>
  <cellStyles count="47">
    <cellStyle name="Comma" xfId="3" builtinId="3"/>
    <cellStyle name="Comma 2" xfId="8" xr:uid="{00000000-0005-0000-0000-000001000000}"/>
    <cellStyle name="Comma 2 2" xfId="46" xr:uid="{00000000-0005-0000-0000-000001000000}"/>
    <cellStyle name="Comma 3" xfId="9" xr:uid="{00000000-0005-0000-0000-000002000000}"/>
    <cellStyle name="Currency" xfId="1" builtinId="4"/>
    <cellStyle name="Currency 2" xfId="10" xr:uid="{00000000-0005-0000-0000-000004000000}"/>
    <cellStyle name="Currency 3" xfId="11" xr:uid="{00000000-0005-0000-0000-000005000000}"/>
    <cellStyle name="Normal" xfId="0" builtinId="0"/>
    <cellStyle name="Normal 10" xfId="12" xr:uid="{00000000-0005-0000-0000-000007000000}"/>
    <cellStyle name="Normal 11" xfId="13" xr:uid="{00000000-0005-0000-0000-000008000000}"/>
    <cellStyle name="Normal 12" xfId="14" xr:uid="{00000000-0005-0000-0000-000009000000}"/>
    <cellStyle name="Normal 13" xfId="15" xr:uid="{00000000-0005-0000-0000-00000A000000}"/>
    <cellStyle name="Normal 14" xfId="16" xr:uid="{00000000-0005-0000-0000-00000B000000}"/>
    <cellStyle name="Normal 15" xfId="17" xr:uid="{00000000-0005-0000-0000-00000C000000}"/>
    <cellStyle name="Normal 16" xfId="18" xr:uid="{00000000-0005-0000-0000-00000D000000}"/>
    <cellStyle name="Normal 17" xfId="19" xr:uid="{00000000-0005-0000-0000-00000E000000}"/>
    <cellStyle name="Normal 18" xfId="20" xr:uid="{00000000-0005-0000-0000-00000F000000}"/>
    <cellStyle name="Normal 19" xfId="21" xr:uid="{00000000-0005-0000-0000-000010000000}"/>
    <cellStyle name="Normal 2" xfId="5" xr:uid="{00000000-0005-0000-0000-000011000000}"/>
    <cellStyle name="Normal 2 2" xfId="7" xr:uid="{00000000-0005-0000-0000-000012000000}"/>
    <cellStyle name="Normal 2 3" xfId="6" xr:uid="{00000000-0005-0000-0000-000013000000}"/>
    <cellStyle name="Normal 2 4" xfId="44" xr:uid="{00000000-0005-0000-0000-000014000000}"/>
    <cellStyle name="Normal 20" xfId="22" xr:uid="{00000000-0005-0000-0000-000015000000}"/>
    <cellStyle name="Normal 21" xfId="23" xr:uid="{00000000-0005-0000-0000-000016000000}"/>
    <cellStyle name="Normal 22" xfId="24" xr:uid="{00000000-0005-0000-0000-000017000000}"/>
    <cellStyle name="Normal 23" xfId="25" xr:uid="{00000000-0005-0000-0000-000018000000}"/>
    <cellStyle name="Normal 24" xfId="26" xr:uid="{00000000-0005-0000-0000-000019000000}"/>
    <cellStyle name="Normal 25" xfId="27" xr:uid="{00000000-0005-0000-0000-00001A000000}"/>
    <cellStyle name="Normal 26" xfId="28" xr:uid="{00000000-0005-0000-0000-00001B000000}"/>
    <cellStyle name="Normal 27" xfId="29" xr:uid="{00000000-0005-0000-0000-00001C000000}"/>
    <cellStyle name="Normal 28" xfId="30" xr:uid="{00000000-0005-0000-0000-00001D000000}"/>
    <cellStyle name="Normal 29" xfId="31" xr:uid="{00000000-0005-0000-0000-00001E000000}"/>
    <cellStyle name="Normal 3" xfId="32" xr:uid="{00000000-0005-0000-0000-00001F000000}"/>
    <cellStyle name="Normal 3 2" xfId="33" xr:uid="{00000000-0005-0000-0000-000020000000}"/>
    <cellStyle name="Normal 4" xfId="4" xr:uid="{00000000-0005-0000-0000-000021000000}"/>
    <cellStyle name="Normal 4 2" xfId="35" xr:uid="{00000000-0005-0000-0000-000022000000}"/>
    <cellStyle name="Normal 4 3" xfId="34" xr:uid="{00000000-0005-0000-0000-000023000000}"/>
    <cellStyle name="Normal 5" xfId="36" xr:uid="{00000000-0005-0000-0000-000024000000}"/>
    <cellStyle name="Normal 5 2" xfId="37" xr:uid="{00000000-0005-0000-0000-000025000000}"/>
    <cellStyle name="Normal 6" xfId="38" xr:uid="{00000000-0005-0000-0000-000026000000}"/>
    <cellStyle name="Normal 7" xfId="39" xr:uid="{00000000-0005-0000-0000-000027000000}"/>
    <cellStyle name="Normal 8" xfId="40" xr:uid="{00000000-0005-0000-0000-000028000000}"/>
    <cellStyle name="Normal 9" xfId="41" xr:uid="{00000000-0005-0000-0000-000029000000}"/>
    <cellStyle name="Normal_Notes" xfId="2" xr:uid="{00000000-0005-0000-0000-00002A000000}"/>
    <cellStyle name="Percent" xfId="45" builtinId="5"/>
    <cellStyle name="Percent 2" xfId="42" xr:uid="{00000000-0005-0000-0000-00002B000000}"/>
    <cellStyle name="Percent 3" xfId="43" xr:uid="{00000000-0005-0000-0000-00002C000000}"/>
  </cellStyles>
  <dxfs count="130">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2" formatCode="0.00"/>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scheme val="none"/>
      </font>
      <numFmt numFmtId="8" formatCode="#,##0.00_);[Red]\(#,##0.00\)"/>
      <fill>
        <patternFill patternType="solid">
          <fgColor indexed="64"/>
          <bgColor theme="4" tint="0.39997558519241921"/>
        </patternFill>
      </fill>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fill>
        <patternFill patternType="solid">
          <fgColor indexed="64"/>
          <bgColor theme="4" tint="0.39997558519241921"/>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scheme val="none"/>
      </font>
      <numFmt numFmtId="8" formatCode="#,##0.00_);[Red]\(#,##0.00\)"/>
      <fill>
        <patternFill patternType="solid">
          <fgColor indexed="64"/>
          <bgColor theme="4" tint="0.39997558519241921"/>
        </patternFill>
      </fill>
      <alignment horizontal="general" vertical="bottom" textRotation="0" wrapText="0" indent="0" justifyLastLine="0" shrinkToFit="0" readingOrder="0"/>
    </dxf>
    <dxf>
      <font>
        <b val="0"/>
        <i val="0"/>
        <strike val="0"/>
        <condense val="0"/>
        <extend val="0"/>
        <outline val="0"/>
        <shadow val="0"/>
        <u val="none"/>
        <vertAlign val="baseline"/>
        <sz val="9"/>
        <color auto="1"/>
        <name val="Arial Unicode MS"/>
        <scheme val="none"/>
      </font>
      <numFmt numFmtId="164" formatCode="mm/dd/yy;@"/>
      <fill>
        <patternFill patternType="solid">
          <fgColor indexed="64"/>
          <bgColor theme="4" tint="0.39997558519241921"/>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scheme val="none"/>
      </font>
      <numFmt numFmtId="164" formatCode="mm/dd/yy;@"/>
      <fill>
        <patternFill patternType="solid">
          <fgColor indexed="64"/>
          <bgColor theme="4" tint="0.39997558519241921"/>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scheme val="none"/>
      </font>
      <numFmt numFmtId="164" formatCode="mm/dd/yy;@"/>
      <fill>
        <patternFill patternType="solid">
          <fgColor indexed="64"/>
          <bgColor theme="4" tint="0.39997558519241921"/>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Arial Unicode MS"/>
        <scheme val="none"/>
      </font>
      <numFmt numFmtId="164" formatCode="mm/dd/yy;@"/>
      <fill>
        <patternFill patternType="solid">
          <fgColor indexed="64"/>
          <bgColor theme="4" tint="0.39997558519241921"/>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scheme val="none"/>
      </font>
      <numFmt numFmtId="164" formatCode="mm/dd/yy;@"/>
      <fill>
        <patternFill patternType="solid">
          <fgColor indexed="64"/>
          <bgColor theme="4" tint="0.39997558519241921"/>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scheme val="none"/>
      </font>
      <numFmt numFmtId="8" formatCode="#,##0.00_);[Red]\(#,##0.00\)"/>
      <fill>
        <patternFill patternType="solid">
          <fgColor indexed="64"/>
          <bgColor theme="4" tint="0.39997558519241921"/>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scheme val="none"/>
      </font>
      <numFmt numFmtId="8" formatCode="#,##0.00_);[Red]\(#,##0.00\)"/>
      <fill>
        <patternFill patternType="solid">
          <fgColor indexed="64"/>
          <bgColor theme="4" tint="0.39997558519241921"/>
        </patternFill>
      </fill>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fill>
        <patternFill patternType="solid">
          <fgColor indexed="64"/>
          <bgColor theme="4" tint="0.39997558519241921"/>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Arial Unicode MS"/>
        <scheme val="none"/>
      </font>
      <numFmt numFmtId="8" formatCode="#,##0.00_);[Red]\(#,##0.00\)"/>
      <fill>
        <patternFill patternType="solid">
          <fgColor indexed="64"/>
          <bgColor theme="4" tint="0.3999755851924192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center"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Unicode MS"/>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165" formatCode="mm/dd/yyyy"/>
      <alignment horizontal="center" vertical="center" textRotation="0" wrapText="0" indent="0" justifyLastLine="0" shrinkToFit="0" readingOrder="0"/>
    </dxf>
    <dxf>
      <fill>
        <patternFill>
          <bgColor theme="4" tint="0.39994506668294322"/>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29"/>
      <tableStyleElement type="firstRowStripe" dxfId="128"/>
    </tableStyle>
    <tableStyle name="Table Style 2" pivot="0" count="1" xr9:uid="{00000000-0011-0000-FFFF-FFFF01000000}">
      <tableStyleElement type="firstRowStripe" dxfId="127"/>
    </tableStyle>
    <tableStyle name="Table Style 3" pivot="0" count="1" xr9:uid="{00000000-0011-0000-FFFF-FFFF02000000}">
      <tableStyleElement type="firstRowStripe" dxfId="126"/>
    </tableStyle>
    <tableStyle name="Table Style 4" pivot="0" count="3" xr9:uid="{00000000-0011-0000-FFFF-FFFF03000000}">
      <tableStyleElement type="wholeTable" dxfId="125"/>
      <tableStyleElement type="headerRow" dxfId="124"/>
      <tableStyleElement type="firstRowStripe" dxfId="123"/>
    </tableStyle>
  </tableStyles>
  <colors>
    <mruColors>
      <color rgb="FFCC99FF"/>
      <color rgb="FF9999FF"/>
      <color rgb="FFFABF8F"/>
      <color rgb="FFF2DCDB"/>
      <color rgb="FFACEAAC"/>
      <color rgb="FFC9FFF5"/>
      <color rgb="FFFFCCFF"/>
      <color rgb="FFDDD9C4"/>
      <color rgb="FFA2B9E2"/>
      <color rgb="FFF4A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975716</xdr:colOff>
      <xdr:row>3</xdr:row>
      <xdr:rowOff>336176</xdr:rowOff>
    </xdr:from>
    <xdr:ext cx="184731" cy="937629"/>
    <xdr:sp macro="" textlink="">
      <xdr:nvSpPr>
        <xdr:cNvPr id="2" name="Rectangle 1">
          <a:extLst>
            <a:ext uri="{FF2B5EF4-FFF2-40B4-BE49-F238E27FC236}">
              <a16:creationId xmlns:a16="http://schemas.microsoft.com/office/drawing/2014/main" id="{00000000-0008-0000-0000-000002000000}"/>
            </a:ext>
          </a:extLst>
        </xdr:cNvPr>
        <xdr:cNvSpPr/>
      </xdr:nvSpPr>
      <xdr:spPr>
        <a:xfrm>
          <a:off x="4511872" y="1193426"/>
          <a:ext cx="184731"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26" unboundColumnsRight="2">
    <queryTableFields count="24">
      <queryTableField id="1" name="ADOT#" tableColumnId="24"/>
      <queryTableField id="2" name="TIP#" tableColumnId="25"/>
      <queryTableField id="3" name="Sponsor" tableColumnId="26"/>
      <queryTableField id="4" name="Action/15" tableColumnId="27"/>
      <queryTableField id="5" name="Location" tableColumnId="28"/>
      <queryTableField id="6" name="RTE" tableColumnId="29"/>
      <queryTableField id="7" name="SEC" tableColumnId="30"/>
      <queryTableField id="8" name="SEQ" tableColumnId="31"/>
      <queryTableField id="9" name="PB Expected" tableColumnId="32"/>
      <queryTableField id="10" name="PB Received" tableColumnId="33"/>
      <queryTableField id="11" name="PF Transmitted" tableColumnId="34"/>
      <queryTableField id="12" name="Finance Authorization" tableColumnId="35"/>
      <queryTableField id="13" name="HURF EX" tableColumnId="36"/>
      <queryTableField id="15" name="PL" tableColumnId="38"/>
      <queryTableField id="16" name="PL-SATO" tableColumnId="39"/>
      <queryTableField id="17" name="SPR" tableColumnId="40"/>
      <queryTableField id="18" name="STP &lt;5" tableColumnId="41"/>
      <queryTableField id="19" name="STP 5-200" tableColumnId="42"/>
      <queryTableField id="20" name="STP 5-50" tableColumnId="43"/>
      <queryTableField id="21" name="STP 50-200" tableColumnId="44"/>
      <queryTableField id="22" name="CRP 50-200" tableColumnId="45"/>
      <queryTableField id="23" name="STP OTHER" tableColumnId="46"/>
      <queryTableField id="24" dataBound="0" tableColumnId="47"/>
      <queryTableField id="25" dataBound="0" tableColumnId="4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26" unboundColumnsRight="2">
    <queryTableFields count="24">
      <queryTableField id="1" name="ADOT#" tableColumnId="68"/>
      <queryTableField id="2" name="TIP#" tableColumnId="69"/>
      <queryTableField id="3" name="Sponsor" tableColumnId="70"/>
      <queryTableField id="4" name="Action/15" tableColumnId="71"/>
      <queryTableField id="5" name="Location" tableColumnId="72"/>
      <queryTableField id="6" name="RTE" tableColumnId="73"/>
      <queryTableField id="7" name="SEC" tableColumnId="74"/>
      <queryTableField id="8" name="SEQ" tableColumnId="75"/>
      <queryTableField id="9" name="PB Expected" tableColumnId="76"/>
      <queryTableField id="10" name="PB Received" tableColumnId="77"/>
      <queryTableField id="11" name="PF Transmitted" tableColumnId="78"/>
      <queryTableField id="12" name="Finance Authorization" tableColumnId="79"/>
      <queryTableField id="13" name="HURF EX" tableColumnId="80"/>
      <queryTableField id="15" name="PL" tableColumnId="82"/>
      <queryTableField id="16" name="PL-SATO" tableColumnId="83"/>
      <queryTableField id="17" name="SPR" tableColumnId="84"/>
      <queryTableField id="18" name="STP &lt;5" tableColumnId="85"/>
      <queryTableField id="19" name="STP 5-200" tableColumnId="86"/>
      <queryTableField id="20" name="STP 5-50" tableColumnId="87"/>
      <queryTableField id="21" name="STP 50-200" tableColumnId="88"/>
      <queryTableField id="22" name="CRP 50-200" tableColumnId="89"/>
      <queryTableField id="23" name="STP OTHER" tableColumnId="90"/>
      <queryTableField id="24" dataBound="0" tableColumnId="91"/>
      <queryTableField id="25" dataBound="0" tableColumnId="9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nextId="24">
    <queryTableFields count="20">
      <queryTableField id="1" name="Transaction Year" tableColumnId="44"/>
      <queryTableField id="2" name="Transaction Type" tableColumnId="45"/>
      <queryTableField id="3" name="Number" tableColumnId="46"/>
      <queryTableField id="4" name="From" tableColumnId="47"/>
      <queryTableField id="5" name="To" tableColumnId="48"/>
      <queryTableField id="6" name="Repayment Year" tableColumnId="49"/>
      <queryTableField id="7" name="Project8" tableColumnId="50"/>
      <queryTableField id="8" name="Notes" tableColumnId="51"/>
      <queryTableField id="9" name="Total" tableColumnId="52"/>
      <queryTableField id="10" name="HURF Exchange" tableColumnId="53"/>
      <queryTableField id="11" name="HSIP" tableColumnId="54"/>
      <queryTableField id="12" name="PLaN" tableColumnId="55"/>
      <queryTableField id="13" name="PLAN SATO" tableColumnId="56"/>
      <queryTableField id="14" name="SPR" tableColumnId="57"/>
      <queryTableField id="15" name="STP &lt;5" tableColumnId="58"/>
      <queryTableField id="16" name="STP 5-2" tableColumnId="59"/>
      <queryTableField id="17" name="STP 5-50" tableColumnId="60"/>
      <queryTableField id="18" name="STP 50-200" tableColumnId="61"/>
      <queryTableField id="19" name="STP Flex" tableColumnId="62"/>
      <queryTableField id="20" name="CRP 50-200" tableColumnId="63"/>
    </queryTableFields>
    <queryTableDeletedFields count="3">
      <deletedField name="TAP &lt;5"/>
      <deletedField name="TAP 5-2"/>
      <deletedField name="TAP Flex"/>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connectionId="3" xr16:uid="{00000000-0016-0000-0100-000003000000}" autoFormatId="16" applyNumberFormats="0" applyBorderFormats="0" applyFontFormats="0" applyPatternFormats="0" applyAlignmentFormats="0" applyWidthHeightFormats="0">
  <queryTableRefresh nextId="24">
    <queryTableFields count="20">
      <queryTableField id="1" name="Transaction Year" tableColumnId="43"/>
      <queryTableField id="2" name="Transaction Type" tableColumnId="44"/>
      <queryTableField id="3" name="Number" tableColumnId="45"/>
      <queryTableField id="4" name="From" tableColumnId="46"/>
      <queryTableField id="5" name="To" tableColumnId="47"/>
      <queryTableField id="6" name="Repayment Year" tableColumnId="48"/>
      <queryTableField id="7" name="Project8" tableColumnId="49"/>
      <queryTableField id="8" name="Notes" tableColumnId="50"/>
      <queryTableField id="9" name="Total" tableColumnId="51"/>
      <queryTableField id="10" name="HURF Exchange" tableColumnId="52"/>
      <queryTableField id="11" name="HSIP" tableColumnId="53"/>
      <queryTableField id="12" name="PLAN" tableColumnId="54"/>
      <queryTableField id="13" name="PLAN SATO" tableColumnId="55"/>
      <queryTableField id="14" name="SPR" tableColumnId="56"/>
      <queryTableField id="15" name="STP &lt;5" tableColumnId="57"/>
      <queryTableField id="16" name="STP 5-2" tableColumnId="58"/>
      <queryTableField id="17" name="STP 5-50" tableColumnId="59"/>
      <queryTableField id="18" name="STP 50-200" tableColumnId="60"/>
      <queryTableField id="19" name="CRP 50-200" tableColumnId="61"/>
      <queryTableField id="20" name="STP Flex" tableColumnId="62"/>
    </queryTableFields>
    <queryTableDeletedFields count="3">
      <deletedField name="TAP &lt;5"/>
      <deletedField name="TAP 5-2"/>
      <deletedField name="TAP Flex"/>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_Query_from_MS_Access_Database8" displayName="Table_Query_from_MS_Access_Database8" ref="A15:X18" tableType="queryTable" totalsRowShown="0" headerRowDxfId="122" dataDxfId="121" tableBorderDxfId="120">
  <tableColumns count="24">
    <tableColumn id="24" xr3:uid="{00000000-0010-0000-0000-000018000000}" uniqueName="24" name="ADOT#" queryTableFieldId="1" dataDxfId="63"/>
    <tableColumn id="25" xr3:uid="{00000000-0010-0000-0000-000019000000}" uniqueName="25" name="TIP#" queryTableFieldId="2" dataDxfId="62"/>
    <tableColumn id="26" xr3:uid="{00000000-0010-0000-0000-00001A000000}" uniqueName="26" name="Sponsor" queryTableFieldId="3" dataDxfId="61"/>
    <tableColumn id="27" xr3:uid="{00000000-0010-0000-0000-00001B000000}" uniqueName="27" name="Action/15" queryTableFieldId="4" dataDxfId="60"/>
    <tableColumn id="28" xr3:uid="{00000000-0010-0000-0000-00001C000000}" uniqueName="28" name="Location" queryTableFieldId="5" dataDxfId="59"/>
    <tableColumn id="29" xr3:uid="{00000000-0010-0000-0000-00001D000000}" uniqueName="29" name="RTE" queryTableFieldId="6" dataDxfId="58"/>
    <tableColumn id="30" xr3:uid="{00000000-0010-0000-0000-00001E000000}" uniqueName="30" name="SEC" queryTableFieldId="7" dataDxfId="57"/>
    <tableColumn id="31" xr3:uid="{00000000-0010-0000-0000-00001F000000}" uniqueName="31" name="SEQ" queryTableFieldId="8" dataDxfId="56"/>
    <tableColumn id="32" xr3:uid="{00000000-0010-0000-0000-000020000000}" uniqueName="32" name="PB Expected" queryTableFieldId="9" dataDxfId="55"/>
    <tableColumn id="33" xr3:uid="{00000000-0010-0000-0000-000021000000}" uniqueName="33" name="PB Received" queryTableFieldId="10" dataDxfId="54"/>
    <tableColumn id="34" xr3:uid="{00000000-0010-0000-0000-000022000000}" uniqueName="34" name="PF Transmitted" queryTableFieldId="11" dataDxfId="53"/>
    <tableColumn id="35" xr3:uid="{00000000-0010-0000-0000-000023000000}" uniqueName="35" name="Finance Authorization" queryTableFieldId="12" dataDxfId="52"/>
    <tableColumn id="36" xr3:uid="{00000000-0010-0000-0000-000024000000}" uniqueName="36" name="HURF EX" queryTableFieldId="13" dataDxfId="51"/>
    <tableColumn id="38" xr3:uid="{00000000-0010-0000-0000-000026000000}" uniqueName="38" name="PL" queryTableFieldId="15" dataDxfId="50"/>
    <tableColumn id="39" xr3:uid="{00000000-0010-0000-0000-000027000000}" uniqueName="39" name="PL-SATO" queryTableFieldId="16" dataDxfId="49"/>
    <tableColumn id="40" xr3:uid="{00000000-0010-0000-0000-000028000000}" uniqueName="40" name="SPR" queryTableFieldId="17" dataDxfId="48"/>
    <tableColumn id="41" xr3:uid="{00000000-0010-0000-0000-000029000000}" uniqueName="41" name="STP &lt;5" queryTableFieldId="18" dataDxfId="47"/>
    <tableColumn id="42" xr3:uid="{00000000-0010-0000-0000-00002A000000}" uniqueName="42" name="STP 5-200" queryTableFieldId="19" dataDxfId="46"/>
    <tableColumn id="43" xr3:uid="{00000000-0010-0000-0000-00002B000000}" uniqueName="43" name="STP 5-50" queryTableFieldId="20" dataDxfId="45"/>
    <tableColumn id="44" xr3:uid="{00000000-0010-0000-0000-00002C000000}" uniqueName="44" name="STP 50-200" queryTableFieldId="21" dataDxfId="44"/>
    <tableColumn id="45" xr3:uid="{00000000-0010-0000-0000-00002D000000}" uniqueName="45" name="CRP 50-200" queryTableFieldId="22" dataDxfId="43"/>
    <tableColumn id="46" xr3:uid="{00000000-0010-0000-0000-00002E000000}" uniqueName="46" name="STP OTHER" queryTableFieldId="23" dataDxfId="42"/>
    <tableColumn id="47" xr3:uid="{00000000-0010-0000-0000-00002F000000}" uniqueName="47" name="TOTAL OF AMOUNT" queryTableFieldId="24" dataDxfId="41">
      <calculatedColumnFormula>SUM(Table_Query_from_MS_Access_Database8[[#This Row],[HURF EX]:[STP OTHER]])</calculatedColumnFormula>
    </tableColumn>
    <tableColumn id="48" xr3:uid="{00000000-0010-0000-0000-000030000000}" uniqueName="48" name="DECLINING BALANCE OA" queryTableFieldId="25" dataDxfId="40">
      <calculatedColumnFormula>IF(ISTEXT(INDIRECT(ADDRESS(ROW()-1,COLUMN()))), INDIRECT(ADDRESS(12,COLUMN())),INDIRECT(ADDRESS(ROW()-1,COLUMN())))-Table_Query_from_MS_Access_Database8[[#This Row],[TOTAL OF AMOUNT]]</calculatedColumnFormula>
    </tableColumn>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_Query_from_MS_Access_Database_1" displayName="Table_Query_from_MS_Access_Database_1" ref="A40:X43" tableType="queryTable" totalsRowShown="0" headerRowDxfId="119" dataDxfId="118">
  <tableColumns count="24">
    <tableColumn id="68" xr3:uid="{00000000-0010-0000-0100-000044000000}" uniqueName="68" name="ADOT#" queryTableFieldId="1" dataDxfId="87" totalsRowDxfId="117"/>
    <tableColumn id="69" xr3:uid="{00000000-0010-0000-0100-000045000000}" uniqueName="69" name="TIP#" queryTableFieldId="2" dataDxfId="86" totalsRowDxfId="116"/>
    <tableColumn id="70" xr3:uid="{00000000-0010-0000-0100-000046000000}" uniqueName="70" name="Sponsor" queryTableFieldId="3" dataDxfId="85" totalsRowDxfId="115"/>
    <tableColumn id="71" xr3:uid="{00000000-0010-0000-0100-000047000000}" uniqueName="71" name="Action/15" queryTableFieldId="4" dataDxfId="84" totalsRowDxfId="114"/>
    <tableColumn id="72" xr3:uid="{00000000-0010-0000-0100-000048000000}" uniqueName="72" name="Location" queryTableFieldId="5" dataDxfId="83" totalsRowDxfId="113"/>
    <tableColumn id="73" xr3:uid="{00000000-0010-0000-0100-000049000000}" uniqueName="73" name="RTE" queryTableFieldId="6" dataDxfId="82" totalsRowDxfId="112"/>
    <tableColumn id="74" xr3:uid="{00000000-0010-0000-0100-00004A000000}" uniqueName="74" name="SEC" queryTableFieldId="7" dataDxfId="81" totalsRowDxfId="111"/>
    <tableColumn id="75" xr3:uid="{00000000-0010-0000-0100-00004B000000}" uniqueName="75" name="SEQ" queryTableFieldId="8" dataDxfId="80" totalsRowDxfId="110"/>
    <tableColumn id="76" xr3:uid="{00000000-0010-0000-0100-00004C000000}" uniqueName="76" name="PB Expected" queryTableFieldId="9" dataDxfId="79" totalsRowDxfId="109"/>
    <tableColumn id="77" xr3:uid="{00000000-0010-0000-0100-00004D000000}" uniqueName="77" name="PB Received" queryTableFieldId="10" dataDxfId="78" totalsRowDxfId="108"/>
    <tableColumn id="78" xr3:uid="{00000000-0010-0000-0100-00004E000000}" uniqueName="78" name="PF Transmitted" queryTableFieldId="11" dataDxfId="77" totalsRowDxfId="107"/>
    <tableColumn id="79" xr3:uid="{00000000-0010-0000-0100-00004F000000}" uniqueName="79" name="Finance Authorization" queryTableFieldId="12" dataDxfId="76" totalsRowDxfId="106"/>
    <tableColumn id="80" xr3:uid="{00000000-0010-0000-0100-000050000000}" uniqueName="80" name="HURF EX" queryTableFieldId="13" dataDxfId="75" totalsRowDxfId="105"/>
    <tableColumn id="82" xr3:uid="{00000000-0010-0000-0100-000052000000}" uniqueName="82" name="PL" queryTableFieldId="15" dataDxfId="74" totalsRowDxfId="104"/>
    <tableColumn id="83" xr3:uid="{00000000-0010-0000-0100-000053000000}" uniqueName="83" name="PL-SATO" queryTableFieldId="16" dataDxfId="73" totalsRowDxfId="103"/>
    <tableColumn id="84" xr3:uid="{00000000-0010-0000-0100-000054000000}" uniqueName="84" name="SPR" queryTableFieldId="17" dataDxfId="72" totalsRowDxfId="102"/>
    <tableColumn id="85" xr3:uid="{00000000-0010-0000-0100-000055000000}" uniqueName="85" name="STP &lt;5" queryTableFieldId="18" dataDxfId="71" totalsRowDxfId="101"/>
    <tableColumn id="86" xr3:uid="{00000000-0010-0000-0100-000056000000}" uniqueName="86" name="STP 5-200" queryTableFieldId="19" dataDxfId="70" totalsRowDxfId="100"/>
    <tableColumn id="87" xr3:uid="{00000000-0010-0000-0100-000057000000}" uniqueName="87" name="STP 5-50" queryTableFieldId="20" dataDxfId="69" totalsRowDxfId="99"/>
    <tableColumn id="88" xr3:uid="{00000000-0010-0000-0100-000058000000}" uniqueName="88" name="STP 50-200" queryTableFieldId="21" dataDxfId="68" totalsRowDxfId="98"/>
    <tableColumn id="89" xr3:uid="{00000000-0010-0000-0100-000059000000}" uniqueName="89" name="CRP 50-200" queryTableFieldId="22" dataDxfId="67" totalsRowDxfId="97"/>
    <tableColumn id="90" xr3:uid="{00000000-0010-0000-0100-00005A000000}" uniqueName="90" name="STP OTHER" queryTableFieldId="23" dataDxfId="66" totalsRowDxfId="96"/>
    <tableColumn id="91" xr3:uid="{00000000-0010-0000-0100-00005B000000}" uniqueName="91" name="TOTAL" queryTableFieldId="24" dataDxfId="65" totalsRowDxfId="95">
      <calculatedColumnFormula>SUM(Table_Query_from_MS_Access_Database_1[[#This Row],[HURF EX]:[STP OTHER]])</calculatedColumnFormula>
    </tableColumn>
    <tableColumn id="92" xr3:uid="{00000000-0010-0000-0100-00005C000000}" uniqueName="92" name="DECLINING BALANCE OA" queryTableFieldId="25" dataDxfId="64">
      <calculatedColumnFormula>IF(ISTEXT(INDIRECT(ADDRESS(ROW()-1,COLUMN()))),INDIRECT(ADDRESS(12,COLUMN()))-SUM(Table_Query_from_MS_Access_Database8[TOTAL OF AMOUNT]),INDIRECT(ADDRESS(ROW()-1,COLUMN())))-Table_Query_from_MS_Access_Database_1[[#This Row],[TOTAL]]</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_Query_from_MS_Access_Database" displayName="Table_Query_from_MS_Access_Database" ref="A11:T21" tableType="queryTable" totalsRowShown="0" headerRowDxfId="94" headerRowBorderDxfId="93" tableBorderDxfId="92" totalsRowBorderDxfId="91" headerRowCellStyle="Comma" dataCellStyle="Comma">
  <autoFilter ref="A11:T21" xr:uid="{00000000-0009-0000-0100-000004000000}"/>
  <tableColumns count="20">
    <tableColumn id="44" xr3:uid="{00000000-0010-0000-0200-00002C000000}" uniqueName="44" name="Transaction Year" queryTableFieldId="1" dataDxfId="19" dataCellStyle="Comma"/>
    <tableColumn id="45" xr3:uid="{00000000-0010-0000-0200-00002D000000}" uniqueName="45" name="Transaction Type" queryTableFieldId="2" dataDxfId="18" dataCellStyle="Comma"/>
    <tableColumn id="46" xr3:uid="{00000000-0010-0000-0200-00002E000000}" uniqueName="46" name="Number" queryTableFieldId="3" dataDxfId="17" dataCellStyle="Comma"/>
    <tableColumn id="47" xr3:uid="{00000000-0010-0000-0200-00002F000000}" uniqueName="47" name="From" queryTableFieldId="4" dataDxfId="16" dataCellStyle="Comma"/>
    <tableColumn id="48" xr3:uid="{00000000-0010-0000-0200-000030000000}" uniqueName="48" name="To" queryTableFieldId="5" dataDxfId="15" dataCellStyle="Comma"/>
    <tableColumn id="49" xr3:uid="{00000000-0010-0000-0200-000031000000}" uniqueName="49" name="Repayment Year" queryTableFieldId="6" dataDxfId="14" dataCellStyle="Comma"/>
    <tableColumn id="50" xr3:uid="{00000000-0010-0000-0200-000032000000}" uniqueName="50" name="Project8" queryTableFieldId="7" dataDxfId="13" dataCellStyle="Comma"/>
    <tableColumn id="51" xr3:uid="{00000000-0010-0000-0200-000033000000}" uniqueName="51" name="Notes" queryTableFieldId="8" dataDxfId="12" dataCellStyle="Comma"/>
    <tableColumn id="52" xr3:uid="{00000000-0010-0000-0200-000034000000}" uniqueName="52" name="Total" queryTableFieldId="9" dataDxfId="11" dataCellStyle="Comma"/>
    <tableColumn id="53" xr3:uid="{00000000-0010-0000-0200-000035000000}" uniqueName="53" name="HURF Exchange" queryTableFieldId="10" dataDxfId="10" dataCellStyle="Comma"/>
    <tableColumn id="54" xr3:uid="{00000000-0010-0000-0200-000036000000}" uniqueName="54" name="HSIP" queryTableFieldId="11" dataDxfId="9" dataCellStyle="Comma"/>
    <tableColumn id="55" xr3:uid="{00000000-0010-0000-0200-000037000000}" uniqueName="55" name="PLaN" queryTableFieldId="12" dataDxfId="8" dataCellStyle="Comma"/>
    <tableColumn id="56" xr3:uid="{00000000-0010-0000-0200-000038000000}" uniqueName="56" name="PLAN SATO" queryTableFieldId="13" dataDxfId="7" dataCellStyle="Comma"/>
    <tableColumn id="57" xr3:uid="{00000000-0010-0000-0200-000039000000}" uniqueName="57" name="SPR" queryTableFieldId="14" dataDxfId="6" dataCellStyle="Comma"/>
    <tableColumn id="58" xr3:uid="{00000000-0010-0000-0200-00003A000000}" uniqueName="58" name="STP &lt;5" queryTableFieldId="15" dataDxfId="5" dataCellStyle="Comma"/>
    <tableColumn id="59" xr3:uid="{00000000-0010-0000-0200-00003B000000}" uniqueName="59" name="STP 5-2" queryTableFieldId="16" dataDxfId="4" dataCellStyle="Comma"/>
    <tableColumn id="60" xr3:uid="{00000000-0010-0000-0200-00003C000000}" uniqueName="60" name="STP 5-50" queryTableFieldId="17" dataDxfId="3" dataCellStyle="Comma"/>
    <tableColumn id="61" xr3:uid="{00000000-0010-0000-0200-00003D000000}" uniqueName="61" name="STP 50-200" queryTableFieldId="18" dataDxfId="2" dataCellStyle="Comma"/>
    <tableColumn id="62" xr3:uid="{00000000-0010-0000-0200-00003E000000}" uniqueName="62" name="STP Flex" queryTableFieldId="19" dataDxfId="1" dataCellStyle="Comma"/>
    <tableColumn id="63" xr3:uid="{00000000-0010-0000-0200-00003F000000}" uniqueName="63" name="CRP 50-200" queryTableFieldId="20" dataDxfId="0" dataCellStyle="Comma"/>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Query_from_MS_Access_Database_16" displayName="Table_Query_from_MS_Access_Database_16" ref="A66:T76" tableType="queryTable" totalsRowShown="0" headerRowDxfId="90" dataDxfId="89" tableBorderDxfId="88" headerRowCellStyle="Comma" dataCellStyle="Comma">
  <autoFilter ref="A66:T76" xr:uid="{00000000-0009-0000-0100-000005000000}"/>
  <tableColumns count="20">
    <tableColumn id="43" xr3:uid="{00000000-0010-0000-0300-00002B000000}" uniqueName="43" name="Transaction Year" queryTableFieldId="1" dataDxfId="39" dataCellStyle="Comma"/>
    <tableColumn id="44" xr3:uid="{00000000-0010-0000-0300-00002C000000}" uniqueName="44" name="Transaction Type" queryTableFieldId="2" dataDxfId="38" dataCellStyle="Comma"/>
    <tableColumn id="45" xr3:uid="{00000000-0010-0000-0300-00002D000000}" uniqueName="45" name="Number" queryTableFieldId="3" dataDxfId="37" dataCellStyle="Comma"/>
    <tableColumn id="46" xr3:uid="{00000000-0010-0000-0300-00002E000000}" uniqueName="46" name="From" queryTableFieldId="4" dataDxfId="36" dataCellStyle="Comma"/>
    <tableColumn id="47" xr3:uid="{00000000-0010-0000-0300-00002F000000}" uniqueName="47" name="To" queryTableFieldId="5" dataDxfId="35" dataCellStyle="Comma"/>
    <tableColumn id="48" xr3:uid="{00000000-0010-0000-0300-000030000000}" uniqueName="48" name="Repayment Year" queryTableFieldId="6" dataDxfId="34" dataCellStyle="Comma"/>
    <tableColumn id="49" xr3:uid="{00000000-0010-0000-0300-000031000000}" uniqueName="49" name="Project8" queryTableFieldId="7" dataDxfId="33" dataCellStyle="Comma"/>
    <tableColumn id="50" xr3:uid="{00000000-0010-0000-0300-000032000000}" uniqueName="50" name="Notes" queryTableFieldId="8" dataDxfId="32" dataCellStyle="Comma"/>
    <tableColumn id="51" xr3:uid="{00000000-0010-0000-0300-000033000000}" uniqueName="51" name="Total" queryTableFieldId="9" dataDxfId="31" dataCellStyle="Comma"/>
    <tableColumn id="52" xr3:uid="{00000000-0010-0000-0300-000034000000}" uniqueName="52" name="HURF Exchange" queryTableFieldId="10" dataDxfId="30" dataCellStyle="Comma"/>
    <tableColumn id="53" xr3:uid="{00000000-0010-0000-0300-000035000000}" uniqueName="53" name="HSIP" queryTableFieldId="11" dataDxfId="29" dataCellStyle="Comma"/>
    <tableColumn id="54" xr3:uid="{00000000-0010-0000-0300-000036000000}" uniqueName="54" name="PLAN" queryTableFieldId="12" dataDxfId="28" dataCellStyle="Comma"/>
    <tableColumn id="55" xr3:uid="{00000000-0010-0000-0300-000037000000}" uniqueName="55" name="PLAN SATO" queryTableFieldId="13" dataDxfId="27" dataCellStyle="Comma"/>
    <tableColumn id="56" xr3:uid="{00000000-0010-0000-0300-000038000000}" uniqueName="56" name="SPR" queryTableFieldId="14" dataDxfId="26" dataCellStyle="Comma"/>
    <tableColumn id="57" xr3:uid="{00000000-0010-0000-0300-000039000000}" uniqueName="57" name="STP &lt;5" queryTableFieldId="15" dataDxfId="25" dataCellStyle="Comma"/>
    <tableColumn id="58" xr3:uid="{00000000-0010-0000-0300-00003A000000}" uniqueName="58" name="STP 5-2" queryTableFieldId="16" dataDxfId="24" dataCellStyle="Comma"/>
    <tableColumn id="59" xr3:uid="{00000000-0010-0000-0300-00003B000000}" uniqueName="59" name="STP 5-50" queryTableFieldId="17" dataDxfId="23" dataCellStyle="Comma"/>
    <tableColumn id="60" xr3:uid="{00000000-0010-0000-0300-00003C000000}" uniqueName="60" name="STP 50-200" queryTableFieldId="18" dataDxfId="22" dataCellStyle="Comma"/>
    <tableColumn id="61" xr3:uid="{00000000-0010-0000-0300-00003D000000}" uniqueName="61" name="CRP 50-200" queryTableFieldId="19" dataDxfId="21" dataCellStyle="Comma"/>
    <tableColumn id="62" xr3:uid="{00000000-0010-0000-0300-00003E000000}" uniqueName="62" name="STP Flex" queryTableFieldId="20" dataDxfId="20"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67"/>
  <sheetViews>
    <sheetView tabSelected="1" zoomScale="70" zoomScaleNormal="70" zoomScaleSheetLayoutView="115" workbookViewId="0">
      <selection sqref="A1:F1"/>
    </sheetView>
  </sheetViews>
  <sheetFormatPr defaultColWidth="32" defaultRowHeight="13.8" outlineLevelCol="1"/>
  <cols>
    <col min="1" max="1" width="12.6640625" style="24" customWidth="1"/>
    <col min="2" max="2" width="8.88671875" style="24" customWidth="1"/>
    <col min="3" max="3" width="24.109375" style="24" customWidth="1"/>
    <col min="4" max="4" width="15.6640625" style="24" customWidth="1"/>
    <col min="5" max="5" width="40.6640625" style="24" customWidth="1"/>
    <col min="6" max="6" width="10.88671875" style="166" customWidth="1" outlineLevel="1"/>
    <col min="7" max="7" width="9.109375" style="166" customWidth="1" outlineLevel="1"/>
    <col min="8" max="8" width="9.33203125" style="166" customWidth="1" outlineLevel="1"/>
    <col min="9" max="9" width="13.5546875" style="24" customWidth="1"/>
    <col min="10" max="10" width="12.44140625" style="24" customWidth="1"/>
    <col min="11" max="11" width="14.5546875" style="24" bestFit="1" customWidth="1"/>
    <col min="12" max="12" width="19.88671875" style="24" customWidth="1"/>
    <col min="13" max="13" width="14.88671875" style="24" customWidth="1"/>
    <col min="14" max="18" width="14.6640625" style="27" customWidth="1"/>
    <col min="19" max="19" width="17" style="27" customWidth="1"/>
    <col min="20" max="20" width="16.6640625" style="27" customWidth="1"/>
    <col min="21" max="21" width="16.6640625" style="24" customWidth="1"/>
    <col min="22" max="23" width="17.6640625" style="24" customWidth="1"/>
    <col min="24" max="24" width="21.88671875" style="24" customWidth="1"/>
    <col min="25" max="25" width="22.5546875" style="24" customWidth="1"/>
    <col min="26" max="16384" width="32" style="24"/>
  </cols>
  <sheetData>
    <row r="1" spans="1:25" ht="23.25" customHeight="1" thickBot="1">
      <c r="A1" s="181" t="s">
        <v>132</v>
      </c>
      <c r="B1" s="181"/>
      <c r="C1" s="181"/>
      <c r="D1" s="181"/>
      <c r="E1" s="181"/>
      <c r="F1" s="181"/>
      <c r="J1" s="25"/>
      <c r="K1" s="26"/>
      <c r="L1" s="25"/>
      <c r="M1" s="179" t="s">
        <v>73</v>
      </c>
      <c r="N1" s="179"/>
      <c r="O1" s="179"/>
      <c r="P1" s="179"/>
      <c r="Q1" s="179"/>
      <c r="R1" s="179"/>
      <c r="S1" s="179"/>
      <c r="T1" s="179"/>
      <c r="U1" s="179"/>
      <c r="V1" s="179"/>
      <c r="W1" s="179"/>
      <c r="X1" s="179"/>
    </row>
    <row r="2" spans="1:25" ht="17.25" customHeight="1">
      <c r="J2" s="25"/>
      <c r="K2" s="25"/>
      <c r="L2" s="25"/>
      <c r="M2" s="185" t="s">
        <v>12</v>
      </c>
      <c r="N2" s="186"/>
      <c r="O2" s="186"/>
      <c r="P2" s="186"/>
      <c r="Q2" s="186"/>
      <c r="R2" s="186"/>
      <c r="S2" s="186"/>
      <c r="T2" s="186"/>
      <c r="U2" s="186"/>
      <c r="V2" s="186"/>
      <c r="W2" s="186"/>
      <c r="X2" s="187"/>
    </row>
    <row r="3" spans="1:25" ht="27.6" customHeight="1">
      <c r="A3" s="189" t="s">
        <v>179</v>
      </c>
      <c r="B3" s="189"/>
      <c r="C3" s="189"/>
      <c r="D3" s="28"/>
      <c r="E3" s="28"/>
      <c r="F3" s="167"/>
      <c r="G3" s="167"/>
      <c r="J3" s="25"/>
      <c r="K3" s="57"/>
      <c r="L3" s="97" t="s">
        <v>11</v>
      </c>
      <c r="M3" s="98" t="s">
        <v>100</v>
      </c>
      <c r="N3" s="99" t="s">
        <v>41</v>
      </c>
      <c r="O3" s="99" t="s">
        <v>116</v>
      </c>
      <c r="P3" s="99" t="s">
        <v>54</v>
      </c>
      <c r="Q3" s="99" t="s">
        <v>91</v>
      </c>
      <c r="R3" s="99" t="s">
        <v>98</v>
      </c>
      <c r="S3" s="99" t="s">
        <v>117</v>
      </c>
      <c r="T3" s="99" t="s">
        <v>118</v>
      </c>
      <c r="U3" s="99" t="s">
        <v>119</v>
      </c>
      <c r="V3" s="99" t="s">
        <v>6</v>
      </c>
      <c r="W3" s="99" t="s">
        <v>10</v>
      </c>
      <c r="X3" s="115" t="s">
        <v>15</v>
      </c>
    </row>
    <row r="4" spans="1:25" ht="27" customHeight="1">
      <c r="A4" s="156"/>
      <c r="E4" s="123"/>
      <c r="F4" s="167"/>
      <c r="G4" s="167"/>
      <c r="J4" s="25"/>
      <c r="K4" s="25"/>
      <c r="L4" s="100" t="s">
        <v>94</v>
      </c>
      <c r="M4" s="101">
        <v>0</v>
      </c>
      <c r="N4" s="102">
        <v>0</v>
      </c>
      <c r="O4" s="102">
        <v>0</v>
      </c>
      <c r="P4" s="102">
        <v>0</v>
      </c>
      <c r="Q4" s="102">
        <v>0</v>
      </c>
      <c r="R4" s="102">
        <v>0</v>
      </c>
      <c r="S4" s="102">
        <v>0</v>
      </c>
      <c r="T4" s="102">
        <v>0</v>
      </c>
      <c r="U4" s="102">
        <v>58830.51999999999</v>
      </c>
      <c r="V4" s="102">
        <v>0</v>
      </c>
      <c r="W4" s="102">
        <f>SUM(M4:V4)</f>
        <v>58830.51999999999</v>
      </c>
      <c r="X4" s="116">
        <v>0</v>
      </c>
    </row>
    <row r="5" spans="1:25" ht="22.8">
      <c r="A5" s="188" t="s">
        <v>162</v>
      </c>
      <c r="B5" s="188"/>
      <c r="C5" s="188"/>
      <c r="D5" s="188"/>
      <c r="J5" s="25"/>
      <c r="K5" s="25"/>
      <c r="L5" s="103" t="s">
        <v>90</v>
      </c>
      <c r="M5" s="104">
        <v>0</v>
      </c>
      <c r="N5" s="106">
        <f>+'FY26 Apportionments'!C5</f>
        <v>162938</v>
      </c>
      <c r="O5" s="106">
        <f>+'FY26 Apportionments'!C6</f>
        <v>4178</v>
      </c>
      <c r="P5" s="106">
        <f>+'FY26 Apportionments'!D3</f>
        <v>125000</v>
      </c>
      <c r="Q5" s="106">
        <f>+'FY26 Apportionments'!D10</f>
        <v>52391</v>
      </c>
      <c r="R5" s="105">
        <v>0</v>
      </c>
      <c r="S5" s="105">
        <f>'FY26 Apportionments'!D8</f>
        <v>14602</v>
      </c>
      <c r="T5" s="106">
        <f>+'FY26 Apportionments'!D9</f>
        <v>278755</v>
      </c>
      <c r="U5" s="106">
        <f>+'FY26 Apportionments'!C11</f>
        <v>120167</v>
      </c>
      <c r="V5" s="105">
        <f>0</f>
        <v>0</v>
      </c>
      <c r="W5" s="105">
        <f>SUM(M5:V5)</f>
        <v>758031</v>
      </c>
      <c r="X5" s="117">
        <f>ROUND(+'Federal Funds Transactions'!$W5*0.949,0)</f>
        <v>719371</v>
      </c>
    </row>
    <row r="6" spans="1:25">
      <c r="A6" s="59" t="s">
        <v>76</v>
      </c>
      <c r="C6" s="48">
        <v>46024</v>
      </c>
      <c r="J6" s="25"/>
      <c r="K6" s="25"/>
      <c r="L6" s="100" t="s">
        <v>64</v>
      </c>
      <c r="M6" s="107">
        <f>SUMIFS(Table_Query_from_MS_Access_Database[[#All],[HURF Exchange]],Table_Query_from_MS_Access_Database[[#All],[Transaction Year]],"2026",Table_Query_from_MS_Access_Database[[#All],[Transaction Type]],"loan in")</f>
        <v>0</v>
      </c>
      <c r="N6" s="108">
        <f>SUMIFS(Table_Query_from_MS_Access_Database[[#All],[PLaN]],Table_Query_from_MS_Access_Database[[#All],[Transaction Year]],"2026",Table_Query_from_MS_Access_Database[[#All],[Transaction Type]],"loan in")</f>
        <v>0</v>
      </c>
      <c r="O6" s="108">
        <f>SUMIFS(Table_Query_from_MS_Access_Database[[#All],[PLAN SATO]],Table_Query_from_MS_Access_Database[[#All],[Transaction Year]],"2026",Table_Query_from_MS_Access_Database[[#All],[Transaction Type]],"loan in")</f>
        <v>0</v>
      </c>
      <c r="P6" s="108">
        <f>SUMIFS(Table_Query_from_MS_Access_Database[[#All],[SPR]],Table_Query_from_MS_Access_Database[[#All],[Transaction Year]],"2026",Table_Query_from_MS_Access_Database[[#All],[Transaction Type]],"loan in")</f>
        <v>0</v>
      </c>
      <c r="Q6" s="108">
        <f>SUMIFS(Table_Query_from_MS_Access_Database[[#All],[STP &lt;5]],Table_Query_from_MS_Access_Database[[#All],[Transaction Year]],"2026",Table_Query_from_MS_Access_Database[[#All],[Transaction Type]],"loan in")</f>
        <v>0</v>
      </c>
      <c r="R6" s="108">
        <f>SUMIFS(Table_Query_from_MS_Access_Database[[#All],[STP 5-2]],Table_Query_from_MS_Access_Database[[#All],[Transaction Year]],"2026",Table_Query_from_MS_Access_Database[[#All],[Transaction Type]],"loan in")</f>
        <v>0</v>
      </c>
      <c r="S6" s="108">
        <f>SUMIFS(Table_Query_from_MS_Access_Database[[#All],[STP 5-50]],Table_Query_from_MS_Access_Database[[#All],[Transaction Year]],"2026",Table_Query_from_MS_Access_Database[[#All],[Transaction Type]],"loan in")</f>
        <v>0</v>
      </c>
      <c r="T6" s="108">
        <f>SUMIFS(Table_Query_from_MS_Access_Database[[#All],[STP 50-200]],Table_Query_from_MS_Access_Database[[#All],[Transaction Year]],"2026",Table_Query_from_MS_Access_Database[[#All],[Transaction Type]],"loan in")</f>
        <v>0</v>
      </c>
      <c r="U6" s="108">
        <f>SUMIFS(Table_Query_from_MS_Access_Database[[#All],[CRP 50-200]],Table_Query_from_MS_Access_Database[[#All],[Transaction Year]],"2026",Table_Query_from_MS_Access_Database[[#All],[Transaction Type]],"loan in")</f>
        <v>0</v>
      </c>
      <c r="V6" s="108">
        <f>SUMIFS(Table_Query_from_MS_Access_Database[[#All],[STP Flex]],Table_Query_from_MS_Access_Database[[#All],[Transaction Year]],"2026",Table_Query_from_MS_Access_Database[[#All],[Transaction Type]],"loan in")</f>
        <v>0</v>
      </c>
      <c r="W6" s="102">
        <f t="shared" ref="W6:W12" si="0">SUM(M6:V6)</f>
        <v>0</v>
      </c>
      <c r="X6" s="118">
        <f>SUMIFS(Table_Query_from_MS_Access_Database_16[[#All],[Total]],Table_Query_from_MS_Access_Database_16[[#All],[Transaction Year]],"2026",Table_Query_from_MS_Access_Database_16[[#All],[Transaction Type]],"Loan In")</f>
        <v>0</v>
      </c>
    </row>
    <row r="7" spans="1:25">
      <c r="A7" s="30"/>
      <c r="J7" s="25"/>
      <c r="K7" s="25"/>
      <c r="L7" s="103" t="s">
        <v>65</v>
      </c>
      <c r="M7" s="109">
        <f>SUMIFS(Table_Query_from_MS_Access_Database[[#All],[HURF Exchange]],Table_Query_from_MS_Access_Database[[#All],[Transaction Year]],"2026",Table_Query_from_MS_Access_Database[[#All],[Transaction Type]],"loan Out")</f>
        <v>0</v>
      </c>
      <c r="N7" s="110">
        <f>SUMIFS(Table_Query_from_MS_Access_Database[[#All],[PLaN]],Table_Query_from_MS_Access_Database[[#All],[Transaction Year]],"2026",Table_Query_from_MS_Access_Database[[#All],[Transaction Type]],"loan Out")</f>
        <v>0</v>
      </c>
      <c r="O7" s="110">
        <f>SUMIFS(Table_Query_from_MS_Access_Database[[#All],[PLAN SATO]],Table_Query_from_MS_Access_Database[[#All],[Transaction Year]],"2026",Table_Query_from_MS_Access_Database[[#All],[Transaction Type]],"loan Out")</f>
        <v>0</v>
      </c>
      <c r="P7" s="110">
        <f>SUMIFS(Table_Query_from_MS_Access_Database[[#All],[SPR]],Table_Query_from_MS_Access_Database[[#All],[Transaction Year]],"2026",Table_Query_from_MS_Access_Database[[#All],[Transaction Type]],"loan Out")</f>
        <v>0</v>
      </c>
      <c r="Q7" s="110">
        <f>SUMIFS(Table_Query_from_MS_Access_Database[[#All],[STP &lt;5]],Table_Query_from_MS_Access_Database[[#All],[Transaction Year]],"2026",Table_Query_from_MS_Access_Database[[#All],[Transaction Type]],"loan Out")</f>
        <v>0</v>
      </c>
      <c r="R7" s="110">
        <f>SUMIFS(Table_Query_from_MS_Access_Database[[#All],[STP 5-2]],Table_Query_from_MS_Access_Database[[#All],[Transaction Year]],"2026",Table_Query_from_MS_Access_Database[[#All],[Transaction Type]],"loan Out")</f>
        <v>0</v>
      </c>
      <c r="S7" s="110">
        <f>SUMIFS(Table_Query_from_MS_Access_Database[[#All],[STP 5-50]],Table_Query_from_MS_Access_Database[[#All],[Transaction Year]],"2026",Table_Query_from_MS_Access_Database[[#All],[Transaction Type]],"loan Out")</f>
        <v>0</v>
      </c>
      <c r="T7" s="110">
        <f>SUMIFS(Table_Query_from_MS_Access_Database[[#All],[STP 50-200]],Table_Query_from_MS_Access_Database[[#All],[Transaction Year]],"2026",Table_Query_from_MS_Access_Database[[#All],[Transaction Type]],"loan Out")</f>
        <v>0</v>
      </c>
      <c r="U7" s="110">
        <f>SUMIFS(Table_Query_from_MS_Access_Database[[#All],[CRP 50-200]],Table_Query_from_MS_Access_Database[[#All],[Transaction Year]],"2026",Table_Query_from_MS_Access_Database[[#All],[Transaction Type]],"loan Out")</f>
        <v>0</v>
      </c>
      <c r="V7" s="110">
        <f>SUMIFS(Table_Query_from_MS_Access_Database[[#All],[STP Flex]],Table_Query_from_MS_Access_Database[[#All],[Transaction Year]],"2026",Table_Query_from_MS_Access_Database[[#All],[Transaction Type]],"loan Out")</f>
        <v>0</v>
      </c>
      <c r="W7" s="105">
        <f t="shared" si="0"/>
        <v>0</v>
      </c>
      <c r="X7" s="119">
        <f>SUMIFS(Table_Query_from_MS_Access_Database_16[[#All],[Total]],Table_Query_from_MS_Access_Database_16[[#All],[Transaction Year]],"2026",Table_Query_from_MS_Access_Database_16[[#All],[Transaction Type]],"Loan Out")</f>
        <v>0</v>
      </c>
    </row>
    <row r="8" spans="1:25">
      <c r="J8" s="25"/>
      <c r="K8" s="25"/>
      <c r="L8" s="100" t="s">
        <v>66</v>
      </c>
      <c r="M8" s="107">
        <f>SUMIFS(Table_Query_from_MS_Access_Database[[#All],[HURF Exchange]],Table_Query_from_MS_Access_Database[[#All],[Transaction Year]],"2026",Table_Query_from_MS_Access_Database[[#All],[Transaction Type]],"repayment in")</f>
        <v>0</v>
      </c>
      <c r="N8" s="108">
        <f>SUMIFS(Table_Query_from_MS_Access_Database[[#All],[PLaN]],Table_Query_from_MS_Access_Database[[#All],[Transaction Year]],"2026",Table_Query_from_MS_Access_Database[[#All],[Transaction Type]],"repayment in")</f>
        <v>0</v>
      </c>
      <c r="O8" s="108">
        <f>SUMIFS(Table_Query_from_MS_Access_Database[[#All],[PLAN SATO]],Table_Query_from_MS_Access_Database[[#All],[Transaction Year]],"2026",Table_Query_from_MS_Access_Database[[#All],[Transaction Type]],"repayment in")</f>
        <v>0</v>
      </c>
      <c r="P8" s="108">
        <f>SUMIFS(Table_Query_from_MS_Access_Database[[#All],[SPR]],Table_Query_from_MS_Access_Database[[#All],[Transaction Year]],"2026",Table_Query_from_MS_Access_Database[[#All],[Transaction Type]],"repayment in")</f>
        <v>0</v>
      </c>
      <c r="Q8" s="108">
        <f>SUMIFS(Table_Query_from_MS_Access_Database[[#All],[STP &lt;5]],Table_Query_from_MS_Access_Database[[#All],[Transaction Year]],"2026",Table_Query_from_MS_Access_Database[[#All],[Transaction Type]],"repayment in")</f>
        <v>52391</v>
      </c>
      <c r="R8" s="108">
        <f>SUMIFS(Table_Query_from_MS_Access_Database[[#All],[STP 5-2]],Table_Query_from_MS_Access_Database[[#All],[Transaction Year]],"2026",Table_Query_from_MS_Access_Database[[#All],[Transaction Type]],"repayment in")</f>
        <v>0</v>
      </c>
      <c r="S8" s="108">
        <f>SUMIFS(Table_Query_from_MS_Access_Database[[#All],[STP 5-50]],Table_Query_from_MS_Access_Database[[#All],[Transaction Year]],"2026",Table_Query_from_MS_Access_Database[[#All],[Transaction Type]],"repayment in")</f>
        <v>14602</v>
      </c>
      <c r="T8" s="108">
        <f>SUMIFS(Table_Query_from_MS_Access_Database[[#All],[STP 50-200]],Table_Query_from_MS_Access_Database[[#All],[Transaction Year]],"2026",Table_Query_from_MS_Access_Database[[#All],[Transaction Type]],"repayment in")</f>
        <v>278755</v>
      </c>
      <c r="U8" s="108">
        <f>SUMIFS(Table_Query_from_MS_Access_Database[[#All],[CRP 50-200]],Table_Query_from_MS_Access_Database[[#All],[Transaction Year]],"2026",Table_Query_from_MS_Access_Database[[#All],[Transaction Type]],"repayment in")</f>
        <v>174481.48</v>
      </c>
      <c r="V8" s="108">
        <f>SUMIFS(Table_Query_from_MS_Access_Database[[#All],[STP Flex]],Table_Query_from_MS_Access_Database[[#All],[Transaction Year]],"2026",Table_Query_from_MS_Access_Database[[#All],[Transaction Type]],"repayment in")</f>
        <v>0</v>
      </c>
      <c r="W8" s="102">
        <f t="shared" si="0"/>
        <v>520229.48</v>
      </c>
      <c r="X8" s="118">
        <f>SUMIFS(Table_Query_from_MS_Access_Database_16[[#All],[Total]],Table_Query_from_MS_Access_Database_16[[#All],[Transaction Year]],"2026",Table_Query_from_MS_Access_Database_16[[#All],[Transaction Type]],"repayment In")</f>
        <v>520229.48</v>
      </c>
    </row>
    <row r="9" spans="1:25" ht="16.5" customHeight="1">
      <c r="A9" s="131" t="s">
        <v>81</v>
      </c>
      <c r="B9" s="122"/>
      <c r="C9" s="122"/>
      <c r="D9" s="122"/>
      <c r="E9" s="122"/>
      <c r="I9" s="122"/>
      <c r="J9" s="122"/>
      <c r="K9" s="122"/>
      <c r="L9" s="103" t="s">
        <v>67</v>
      </c>
      <c r="M9" s="109">
        <f>SUMIFS(Table_Query_from_MS_Access_Database[[#All],[HURF Exchange]],Table_Query_from_MS_Access_Database[[#All],[Transaction Year]],"2026",Table_Query_from_MS_Access_Database[[#All],[Transaction Type]],"repayment Out")</f>
        <v>0</v>
      </c>
      <c r="N9" s="110">
        <f>SUMIFS(Table_Query_from_MS_Access_Database[[#All],[PLaN]],Table_Query_from_MS_Access_Database[[#All],[Transaction Year]],"2026",Table_Query_from_MS_Access_Database[[#All],[Transaction Type]],"repayment Out")</f>
        <v>0</v>
      </c>
      <c r="O9" s="110">
        <f>SUMIFS(Table_Query_from_MS_Access_Database[[#All],[PLAN SATO]],Table_Query_from_MS_Access_Database[[#All],[Transaction Year]],"2026",Table_Query_from_MS_Access_Database[[#All],[Transaction Type]],"repayment Out")</f>
        <v>0</v>
      </c>
      <c r="P9" s="110">
        <f>SUMIFS(Table_Query_from_MS_Access_Database[[#All],[SPR]],Table_Query_from_MS_Access_Database[[#All],[Transaction Year]],"2026",Table_Query_from_MS_Access_Database[[#All],[Transaction Type]],"repayment Out")</f>
        <v>0</v>
      </c>
      <c r="Q9" s="110">
        <f>SUMIFS(Table_Query_from_MS_Access_Database[[#All],[STP &lt;5]],Table_Query_from_MS_Access_Database[[#All],[Transaction Year]],"2026",Table_Query_from_MS_Access_Database[[#All],[Transaction Type]],"repayment Out")</f>
        <v>0</v>
      </c>
      <c r="R9" s="110">
        <f>SUMIFS(Table_Query_from_MS_Access_Database[[#All],[STP 5-2]],Table_Query_from_MS_Access_Database[[#All],[Transaction Year]],"2026",Table_Query_from_MS_Access_Database[[#All],[Transaction Type]],"repayment Out")</f>
        <v>0</v>
      </c>
      <c r="S9" s="110">
        <f>SUMIFS(Table_Query_from_MS_Access_Database[[#All],[STP 5-50]],Table_Query_from_MS_Access_Database[[#All],[Transaction Year]],"2026",Table_Query_from_MS_Access_Database[[#All],[Transaction Type]],"repayment Out")</f>
        <v>0</v>
      </c>
      <c r="T9" s="110">
        <f>SUMIFS(Table_Query_from_MS_Access_Database[[#All],[STP 50-200]],Table_Query_from_MS_Access_Database[[#All],[Transaction Year]],"2026",Table_Query_from_MS_Access_Database[[#All],[Transaction Type]],"repayment Out")</f>
        <v>0</v>
      </c>
      <c r="U9" s="110">
        <f>SUMIFS(Table_Query_from_MS_Access_Database[[#All],[CRP 50-200]],Table_Query_from_MS_Access_Database[[#All],[Transaction Year]],"2026",Table_Query_from_MS_Access_Database[[#All],[Transaction Type]],"repayment Out")</f>
        <v>0</v>
      </c>
      <c r="V9" s="110">
        <f>SUMIFS(Table_Query_from_MS_Access_Database[[#All],[STP Flex]],Table_Query_from_MS_Access_Database[[#All],[Transaction Year]],"2026",Table_Query_from_MS_Access_Database[[#All],[Transaction Type]],"repayment Out")</f>
        <v>0</v>
      </c>
      <c r="W9" s="105">
        <f t="shared" si="0"/>
        <v>0</v>
      </c>
      <c r="X9" s="119">
        <f>SUMIFS(Table_Query_from_MS_Access_Database_16[[#All],[Total]],Table_Query_from_MS_Access_Database_16[[#All],[Transaction Year]],"2026",Table_Query_from_MS_Access_Database_16[[#All],[Transaction Type]],"Repayment Out")</f>
        <v>0</v>
      </c>
    </row>
    <row r="10" spans="1:25">
      <c r="J10" s="25"/>
      <c r="K10" s="25"/>
      <c r="L10" s="100" t="s">
        <v>68</v>
      </c>
      <c r="M10" s="107">
        <f>SUMIFS(Table_Query_from_MS_Access_Database[[#All],[HURF Exchange]],Table_Query_from_MS_Access_Database[[#All],[Transaction Year]],"202",Table_Query_from_MS_Access_Database[[#All],[Transaction Type]],"Transfer in")</f>
        <v>0</v>
      </c>
      <c r="N10" s="108">
        <f>SUMIFS(Table_Query_from_MS_Access_Database[[#All],[PLaN]],Table_Query_from_MS_Access_Database[[#All],[Transaction Year]],"2026",Table_Query_from_MS_Access_Database[[#All],[Transaction Type]],"Transfer in")</f>
        <v>0</v>
      </c>
      <c r="O10" s="108">
        <f>SUMIFS(Table_Query_from_MS_Access_Database[[#All],[PLAN SATO]],Table_Query_from_MS_Access_Database[[#All],[Transaction Year]],"2026",Table_Query_from_MS_Access_Database[[#All],[Transaction Type]],"Transfer in")</f>
        <v>0</v>
      </c>
      <c r="P10" s="108">
        <f>SUMIFS(Table_Query_from_MS_Access_Database[[#All],[SPR]],Table_Query_from_MS_Access_Database[[#All],[Transaction Year]],"2026",Table_Query_from_MS_Access_Database[[#All],[Transaction Type]],"Transfer in")</f>
        <v>0</v>
      </c>
      <c r="Q10" s="108">
        <f>SUMIFS(Table_Query_from_MS_Access_Database[[#All],[STP &lt;5]],Table_Query_from_MS_Access_Database[[#All],[Transaction Year]],"2026",Table_Query_from_MS_Access_Database[[#All],[Transaction Type]],"Transfer in")</f>
        <v>0</v>
      </c>
      <c r="R10" s="108">
        <f>SUMIFS(Table_Query_from_MS_Access_Database[[#All],[STP 5-2]],Table_Query_from_MS_Access_Database[[#All],[Transaction Year]],"2026",Table_Query_from_MS_Access_Database[[#All],[Transaction Type]],"Transfer in")</f>
        <v>0</v>
      </c>
      <c r="S10" s="108">
        <f>SUMIFS(Table_Query_from_MS_Access_Database[[#All],[STP 5-50]],Table_Query_from_MS_Access_Database[[#All],[Transaction Year]],"2026",Table_Query_from_MS_Access_Database[[#All],[Transaction Type]],"Transfer in")</f>
        <v>0</v>
      </c>
      <c r="T10" s="108">
        <f>SUMIFS(Table_Query_from_MS_Access_Database[[#All],[STP 50-200]],Table_Query_from_MS_Access_Database[[#All],[Transaction Year]],"2026",Table_Query_from_MS_Access_Database[[#All],[Transaction Type]],"Transfer in")</f>
        <v>0</v>
      </c>
      <c r="U10" s="108">
        <f>SUMIFS(Table_Query_from_MS_Access_Database[[#All],[CRP 50-200]],Table_Query_from_MS_Access_Database[[#All],[Transaction Year]],"2026",Table_Query_from_MS_Access_Database[[#All],[Transaction Type]],"Transfer in")</f>
        <v>0</v>
      </c>
      <c r="V10" s="108">
        <f>SUMIFS(Table_Query_from_MS_Access_Database[[#All],[STP Flex]],Table_Query_from_MS_Access_Database[[#All],[Transaction Year]],"2026",Table_Query_from_MS_Access_Database[[#All],[Transaction Type]],"Transfer in")</f>
        <v>0</v>
      </c>
      <c r="W10" s="102">
        <f t="shared" si="0"/>
        <v>0</v>
      </c>
      <c r="X10" s="118">
        <f>SUMIFS(Table_Query_from_MS_Access_Database_16[[#All],[Total]],Table_Query_from_MS_Access_Database_16[[#All],[Transaction Year]],"2026",Table_Query_from_MS_Access_Database_16[[#All],[Transaction Type]],"Transfer In")</f>
        <v>0</v>
      </c>
    </row>
    <row r="11" spans="1:25">
      <c r="J11" s="25"/>
      <c r="K11" s="25"/>
      <c r="L11" s="103" t="s">
        <v>69</v>
      </c>
      <c r="M11" s="109">
        <f>SUMIFS(Table_Query_from_MS_Access_Database[[#All],[HURF Exchange]],Table_Query_from_MS_Access_Database[[#All],[Transaction Year]],"2026",Table_Query_from_MS_Access_Database[[#All],[Transaction Type]],"Transfer Out")</f>
        <v>0</v>
      </c>
      <c r="N11" s="110">
        <f>SUMIFS(Table_Query_from_MS_Access_Database[[#All],[PLaN]],Table_Query_from_MS_Access_Database[[#All],[Transaction Year]],"2026",Table_Query_from_MS_Access_Database[[#All],[Transaction Type]],"Transfer Out")</f>
        <v>0</v>
      </c>
      <c r="O11" s="110">
        <f>SUMIFS(Table_Query_from_MS_Access_Database[[#All],[PLAN SATO]],Table_Query_from_MS_Access_Database[[#All],[Transaction Year]],"2026",Table_Query_from_MS_Access_Database[[#All],[Transaction Type]],"Transfer Out")</f>
        <v>0</v>
      </c>
      <c r="P11" s="110">
        <f>SUMIFS(Table_Query_from_MS_Access_Database[[#All],[SPR]],Table_Query_from_MS_Access_Database[[#All],[Transaction Year]],"2026",Table_Query_from_MS_Access_Database[[#All],[Transaction Type]],"Transfer Out")</f>
        <v>0</v>
      </c>
      <c r="Q11" s="110">
        <f>SUMIFS(Table_Query_from_MS_Access_Database[[#All],[STP &lt;5]],Table_Query_from_MS_Access_Database[[#All],[Transaction Year]],"2026",Table_Query_from_MS_Access_Database[[#All],[Transaction Type]],"Transfer Out")</f>
        <v>0</v>
      </c>
      <c r="R11" s="110">
        <f>SUMIFS(Table_Query_from_MS_Access_Database[[#All],[STP 5-2]],Table_Query_from_MS_Access_Database[[#All],[Transaction Year]],"2026",Table_Query_from_MS_Access_Database[[#All],[Transaction Type]],"Transfer Out")</f>
        <v>0</v>
      </c>
      <c r="S11" s="110">
        <f>SUMIFS(Table_Query_from_MS_Access_Database[[#All],[STP 5-50]],Table_Query_from_MS_Access_Database[[#All],[Transaction Year]],"2026",Table_Query_from_MS_Access_Database[[#All],[Transaction Type]],"Transfer Out")</f>
        <v>0</v>
      </c>
      <c r="T11" s="110">
        <f>SUMIFS(Table_Query_from_MS_Access_Database[[#All],[STP 50-200]],Table_Query_from_MS_Access_Database[[#All],[Transaction Year]],"2026",Table_Query_from_MS_Access_Database[[#All],[Transaction Type]],"Transfer Out")</f>
        <v>0</v>
      </c>
      <c r="U11" s="110">
        <f>SUMIFS(Table_Query_from_MS_Access_Database[[#All],[CRP 50-200]],Table_Query_from_MS_Access_Database[[#All],[Transaction Year]],"2026",Table_Query_from_MS_Access_Database[[#All],[Transaction Type]],"Transfer Out")</f>
        <v>0</v>
      </c>
      <c r="V11" s="110">
        <f>SUMIFS(Table_Query_from_MS_Access_Database[[#All],[STP Flex]],Table_Query_from_MS_Access_Database[[#All],[Transaction Year]],"2026",Table_Query_from_MS_Access_Database[[#All],[Transaction Type]],"Transfer Out")</f>
        <v>0</v>
      </c>
      <c r="W11" s="105">
        <f t="shared" si="0"/>
        <v>0</v>
      </c>
      <c r="X11" s="119">
        <f>SUMIFS(Table_Query_from_MS_Access_Database_16[[#All],[Total]],Table_Query_from_MS_Access_Database_16[[#All],[Transaction Year]],"2026",Table_Query_from_MS_Access_Database_16[[#All],[Transaction Type]],"Transfer Out")</f>
        <v>0</v>
      </c>
    </row>
    <row r="12" spans="1:25" ht="24">
      <c r="J12" s="25"/>
      <c r="K12" s="25"/>
      <c r="L12" s="111" t="s">
        <v>93</v>
      </c>
      <c r="M12" s="112">
        <f t="shared" ref="M12" si="1">SUM(M4:M11)</f>
        <v>0</v>
      </c>
      <c r="N12" s="113">
        <f>SUM(N4:N11)</f>
        <v>162938</v>
      </c>
      <c r="O12" s="113">
        <f>SUM(O4:O11)</f>
        <v>4178</v>
      </c>
      <c r="P12" s="113">
        <f t="shared" ref="P12:R12" si="2">SUM(P4:P11)</f>
        <v>125000</v>
      </c>
      <c r="Q12" s="113">
        <f t="shared" si="2"/>
        <v>104782</v>
      </c>
      <c r="R12" s="113">
        <f t="shared" si="2"/>
        <v>0</v>
      </c>
      <c r="S12" s="113">
        <f t="shared" ref="S12:T12" si="3">SUM(S4:S11)</f>
        <v>29204</v>
      </c>
      <c r="T12" s="113">
        <f t="shared" si="3"/>
        <v>557510</v>
      </c>
      <c r="U12" s="113">
        <f t="shared" ref="U12" si="4">SUM(U4:U11)</f>
        <v>353479</v>
      </c>
      <c r="V12" s="113">
        <f>SUM(V4:V11)</f>
        <v>0</v>
      </c>
      <c r="W12" s="113">
        <f t="shared" si="0"/>
        <v>1337091</v>
      </c>
      <c r="X12" s="120">
        <f>SUM(X4:X11)</f>
        <v>1239600.48</v>
      </c>
    </row>
    <row r="13" spans="1:25">
      <c r="J13" s="25"/>
      <c r="K13" s="25"/>
      <c r="L13" s="25"/>
      <c r="M13" s="25"/>
      <c r="N13" s="31"/>
      <c r="O13" s="32"/>
      <c r="P13" s="32"/>
      <c r="Q13" s="32"/>
      <c r="R13" s="32"/>
      <c r="S13" s="32"/>
      <c r="T13" s="29"/>
    </row>
    <row r="14" spans="1:25" ht="15.75" customHeight="1">
      <c r="A14" s="180" t="s">
        <v>57</v>
      </c>
      <c r="B14" s="180"/>
      <c r="C14" s="180"/>
      <c r="D14" s="180"/>
      <c r="I14" s="182" t="s">
        <v>58</v>
      </c>
      <c r="J14" s="183"/>
      <c r="K14" s="183"/>
      <c r="L14" s="184"/>
      <c r="M14" s="129"/>
      <c r="N14" s="33"/>
      <c r="R14" s="29"/>
      <c r="S14" s="29"/>
      <c r="T14" s="29"/>
      <c r="Y14" s="27"/>
    </row>
    <row r="15" spans="1:25" ht="30.75" customHeight="1">
      <c r="A15" s="76" t="s">
        <v>1</v>
      </c>
      <c r="B15" s="76" t="s">
        <v>0</v>
      </c>
      <c r="C15" s="76" t="s">
        <v>3</v>
      </c>
      <c r="D15" s="76" t="s">
        <v>78</v>
      </c>
      <c r="E15" s="76" t="s">
        <v>2</v>
      </c>
      <c r="F15" s="76" t="s">
        <v>45</v>
      </c>
      <c r="G15" s="76" t="s">
        <v>46</v>
      </c>
      <c r="H15" s="76" t="s">
        <v>47</v>
      </c>
      <c r="I15" s="77" t="s">
        <v>48</v>
      </c>
      <c r="J15" s="77" t="s">
        <v>49</v>
      </c>
      <c r="K15" s="77" t="s">
        <v>50</v>
      </c>
      <c r="L15" s="77" t="s">
        <v>51</v>
      </c>
      <c r="M15" s="76" t="s">
        <v>100</v>
      </c>
      <c r="N15" s="76" t="s">
        <v>41</v>
      </c>
      <c r="O15" s="76" t="s">
        <v>116</v>
      </c>
      <c r="P15" s="76" t="s">
        <v>5</v>
      </c>
      <c r="Q15" s="76" t="s">
        <v>91</v>
      </c>
      <c r="R15" s="76" t="s">
        <v>98</v>
      </c>
      <c r="S15" s="76" t="s">
        <v>117</v>
      </c>
      <c r="T15" s="77" t="s">
        <v>118</v>
      </c>
      <c r="U15" s="77" t="s">
        <v>119</v>
      </c>
      <c r="V15" s="125" t="s">
        <v>52</v>
      </c>
      <c r="W15" s="76" t="s">
        <v>79</v>
      </c>
      <c r="X15" s="77" t="s">
        <v>86</v>
      </c>
    </row>
    <row r="16" spans="1:25" s="36" customFormat="1" ht="13.5" customHeight="1">
      <c r="A16" s="36" t="s">
        <v>157</v>
      </c>
      <c r="C16" s="36" t="s">
        <v>133</v>
      </c>
      <c r="D16" s="36" t="s">
        <v>8</v>
      </c>
      <c r="E16" s="82" t="s">
        <v>158</v>
      </c>
      <c r="F16" s="144" t="s">
        <v>149</v>
      </c>
      <c r="G16" s="144" t="s">
        <v>150</v>
      </c>
      <c r="H16" s="144" t="s">
        <v>159</v>
      </c>
      <c r="I16" s="114">
        <v>45931</v>
      </c>
      <c r="J16" s="83">
        <v>45931</v>
      </c>
      <c r="K16" s="80">
        <v>45931</v>
      </c>
      <c r="L16" s="80">
        <v>45931</v>
      </c>
      <c r="M16" s="80"/>
      <c r="N16" s="85"/>
      <c r="O16" s="85"/>
      <c r="P16" s="85">
        <v>91250</v>
      </c>
      <c r="Q16" s="85"/>
      <c r="R16" s="81"/>
      <c r="S16" s="81"/>
      <c r="T16" s="81"/>
      <c r="U16" s="81"/>
      <c r="V16" s="158"/>
      <c r="W16" s="130">
        <f>SUM(Table_Query_from_MS_Access_Database8[[#This Row],[HURF EX]:[STP OTHER]])</f>
        <v>91250</v>
      </c>
      <c r="X16" s="130">
        <f ca="1">IF(ISTEXT(INDIRECT(ADDRESS(ROW()-1,COLUMN()))), INDIRECT(ADDRESS(12,COLUMN())),INDIRECT(ADDRESS(ROW()-1,COLUMN())))-Table_Query_from_MS_Access_Database8[[#This Row],[TOTAL OF AMOUNT]]</f>
        <v>1148350.48</v>
      </c>
    </row>
    <row r="17" spans="1:24" s="36" customFormat="1" ht="13.5" customHeight="1">
      <c r="A17" s="36" t="s">
        <v>171</v>
      </c>
      <c r="B17" s="36" t="s">
        <v>172</v>
      </c>
      <c r="C17" s="36" t="s">
        <v>133</v>
      </c>
      <c r="D17" s="36" t="s">
        <v>8</v>
      </c>
      <c r="E17" s="82" t="s">
        <v>173</v>
      </c>
      <c r="F17" s="144" t="s">
        <v>149</v>
      </c>
      <c r="G17" s="144" t="s">
        <v>174</v>
      </c>
      <c r="H17" s="144" t="s">
        <v>159</v>
      </c>
      <c r="I17" s="83"/>
      <c r="J17" s="83">
        <v>45945</v>
      </c>
      <c r="K17" s="80">
        <v>45950</v>
      </c>
      <c r="L17" s="80">
        <v>45952</v>
      </c>
      <c r="M17" s="80"/>
      <c r="N17" s="85">
        <v>47271.05</v>
      </c>
      <c r="O17" s="85"/>
      <c r="P17" s="85"/>
      <c r="Q17" s="85"/>
      <c r="R17" s="81"/>
      <c r="S17" s="81"/>
      <c r="T17" s="81"/>
      <c r="U17" s="81"/>
      <c r="V17" s="130"/>
      <c r="W17" s="130">
        <f>SUM(Table_Query_from_MS_Access_Database8[[#This Row],[HURF EX]:[STP OTHER]])</f>
        <v>47271.05</v>
      </c>
      <c r="X17" s="130">
        <f ca="1">IF(ISTEXT(INDIRECT(ADDRESS(ROW()-1,COLUMN()))), INDIRECT(ADDRESS(12,COLUMN())),INDIRECT(ADDRESS(ROW()-1,COLUMN())))-Table_Query_from_MS_Access_Database8[[#This Row],[TOTAL OF AMOUNT]]</f>
        <v>1101079.43</v>
      </c>
    </row>
    <row r="18" spans="1:24" s="36" customFormat="1" ht="13.5" customHeight="1">
      <c r="A18" s="36" t="s">
        <v>180</v>
      </c>
      <c r="B18" s="36" t="s">
        <v>172</v>
      </c>
      <c r="C18" s="36" t="s">
        <v>133</v>
      </c>
      <c r="D18" s="36" t="s">
        <v>8</v>
      </c>
      <c r="E18" s="82" t="s">
        <v>181</v>
      </c>
      <c r="F18" s="144" t="s">
        <v>149</v>
      </c>
      <c r="G18" s="144" t="s">
        <v>174</v>
      </c>
      <c r="H18" s="144" t="s">
        <v>182</v>
      </c>
      <c r="I18" s="83"/>
      <c r="J18" s="83">
        <v>45945</v>
      </c>
      <c r="K18" s="80">
        <v>45950</v>
      </c>
      <c r="L18" s="80">
        <v>45952</v>
      </c>
      <c r="M18" s="80"/>
      <c r="N18" s="85">
        <v>-47271.05</v>
      </c>
      <c r="O18" s="85"/>
      <c r="P18" s="85"/>
      <c r="Q18" s="85"/>
      <c r="R18" s="81"/>
      <c r="S18" s="81"/>
      <c r="T18" s="81"/>
      <c r="U18" s="81"/>
      <c r="V18" s="130"/>
      <c r="W18" s="130">
        <f>SUM(Table_Query_from_MS_Access_Database8[[#This Row],[HURF EX]:[STP OTHER]])</f>
        <v>-47271.05</v>
      </c>
      <c r="X18" s="130">
        <f ca="1">IF(ISTEXT(INDIRECT(ADDRESS(ROW()-1,COLUMN()))), INDIRECT(ADDRESS(12,COLUMN())),INDIRECT(ADDRESS(ROW()-1,COLUMN())))-Table_Query_from_MS_Access_Database8[[#This Row],[TOTAL OF AMOUNT]]</f>
        <v>1148350.48</v>
      </c>
    </row>
    <row r="19" spans="1:24" s="36" customFormat="1" ht="13.2" hidden="1" customHeight="1">
      <c r="E19" s="82"/>
      <c r="F19" s="144"/>
      <c r="G19" s="144"/>
      <c r="H19" s="144"/>
      <c r="I19" s="83"/>
      <c r="J19" s="83"/>
      <c r="K19" s="80"/>
      <c r="L19" s="80"/>
      <c r="M19" s="80"/>
      <c r="N19" s="85"/>
      <c r="O19" s="85"/>
      <c r="P19" s="85"/>
      <c r="Q19" s="85"/>
      <c r="R19" s="81"/>
      <c r="S19" s="81"/>
      <c r="T19" s="81"/>
      <c r="U19" s="81"/>
      <c r="V19" s="130"/>
      <c r="W19" s="130"/>
      <c r="X19" s="130"/>
    </row>
    <row r="20" spans="1:24" s="36" customFormat="1" ht="13.2" hidden="1" customHeight="1">
      <c r="E20" s="82"/>
      <c r="F20" s="144"/>
      <c r="G20" s="144"/>
      <c r="H20" s="144"/>
      <c r="I20" s="83"/>
      <c r="J20" s="83"/>
      <c r="K20" s="80"/>
      <c r="L20" s="80"/>
      <c r="M20" s="80"/>
      <c r="N20" s="85"/>
      <c r="O20" s="85"/>
      <c r="P20" s="85"/>
      <c r="Q20" s="85"/>
      <c r="R20" s="81"/>
      <c r="S20" s="81"/>
      <c r="T20" s="81"/>
      <c r="U20" s="81"/>
      <c r="V20" s="130"/>
      <c r="W20" s="130"/>
      <c r="X20" s="130"/>
    </row>
    <row r="21" spans="1:24" s="36" customFormat="1" ht="13.2" hidden="1" customHeight="1">
      <c r="E21" s="82"/>
      <c r="F21" s="144"/>
      <c r="G21" s="144"/>
      <c r="H21" s="144"/>
      <c r="I21" s="83"/>
      <c r="J21" s="83"/>
      <c r="K21" s="80"/>
      <c r="L21" s="80"/>
      <c r="M21" s="80"/>
      <c r="N21" s="85"/>
      <c r="O21" s="85"/>
      <c r="P21" s="85"/>
      <c r="Q21" s="85"/>
      <c r="R21" s="81"/>
      <c r="S21" s="81"/>
      <c r="T21" s="81"/>
      <c r="U21" s="81"/>
      <c r="V21" s="130"/>
      <c r="W21" s="130"/>
      <c r="X21" s="130"/>
    </row>
    <row r="22" spans="1:24" s="36" customFormat="1" ht="13.2" hidden="1" customHeight="1">
      <c r="E22" s="82"/>
      <c r="F22" s="144"/>
      <c r="G22" s="144"/>
      <c r="H22" s="144"/>
      <c r="I22" s="83"/>
      <c r="J22" s="83"/>
      <c r="K22" s="80"/>
      <c r="L22" s="80"/>
      <c r="M22" s="80"/>
      <c r="N22" s="85"/>
      <c r="O22" s="85"/>
      <c r="P22" s="85"/>
      <c r="Q22" s="85"/>
      <c r="R22" s="81"/>
      <c r="S22" s="81"/>
      <c r="T22" s="81"/>
      <c r="U22" s="81"/>
      <c r="V22" s="130"/>
      <c r="W22" s="130"/>
      <c r="X22" s="130"/>
    </row>
    <row r="23" spans="1:24" s="36" customFormat="1" ht="13.2" hidden="1" customHeight="1">
      <c r="E23" s="82"/>
      <c r="F23" s="144"/>
      <c r="G23" s="144"/>
      <c r="H23" s="144"/>
      <c r="I23" s="83"/>
      <c r="J23" s="83"/>
      <c r="K23" s="80"/>
      <c r="L23" s="80"/>
      <c r="M23" s="80"/>
      <c r="N23" s="85"/>
      <c r="O23" s="85"/>
      <c r="P23" s="85"/>
      <c r="Q23" s="85"/>
      <c r="R23" s="81"/>
      <c r="S23" s="81"/>
      <c r="T23" s="81"/>
      <c r="U23" s="81"/>
      <c r="V23" s="130"/>
      <c r="W23" s="130"/>
      <c r="X23" s="130"/>
    </row>
    <row r="24" spans="1:24" s="36" customFormat="1" ht="13.2" hidden="1" customHeight="1">
      <c r="E24" s="82"/>
      <c r="F24" s="144"/>
      <c r="G24" s="144"/>
      <c r="H24" s="144"/>
      <c r="I24" s="83"/>
      <c r="J24" s="83"/>
      <c r="K24" s="80"/>
      <c r="L24" s="80"/>
      <c r="M24" s="80"/>
      <c r="N24" s="85"/>
      <c r="O24" s="85"/>
      <c r="P24" s="85"/>
      <c r="Q24" s="85"/>
      <c r="R24" s="81"/>
      <c r="S24" s="81"/>
      <c r="T24" s="81"/>
      <c r="U24" s="81"/>
      <c r="V24" s="130"/>
      <c r="W24" s="130"/>
      <c r="X24" s="130"/>
    </row>
    <row r="25" spans="1:24" s="36" customFormat="1" ht="13.2" hidden="1" customHeight="1">
      <c r="E25" s="82"/>
      <c r="F25" s="144"/>
      <c r="G25" s="144"/>
      <c r="H25" s="144"/>
      <c r="I25" s="83"/>
      <c r="J25" s="83"/>
      <c r="K25" s="80"/>
      <c r="L25" s="80"/>
      <c r="M25" s="80"/>
      <c r="N25" s="85"/>
      <c r="O25" s="85"/>
      <c r="P25" s="85"/>
      <c r="Q25" s="85"/>
      <c r="R25" s="81"/>
      <c r="S25" s="81"/>
      <c r="T25" s="81"/>
      <c r="U25" s="81"/>
      <c r="V25" s="130"/>
      <c r="W25" s="130"/>
      <c r="X25" s="130"/>
    </row>
    <row r="26" spans="1:24" s="36" customFormat="1" ht="13.2" hidden="1" customHeight="1">
      <c r="E26" s="82"/>
      <c r="F26" s="144"/>
      <c r="G26" s="144"/>
      <c r="H26" s="144"/>
      <c r="I26" s="83"/>
      <c r="J26" s="83"/>
      <c r="K26" s="80"/>
      <c r="L26" s="80"/>
      <c r="M26" s="80"/>
      <c r="N26" s="85"/>
      <c r="O26" s="85"/>
      <c r="P26" s="85"/>
      <c r="Q26" s="85"/>
      <c r="R26" s="81"/>
      <c r="S26" s="81"/>
      <c r="T26" s="81"/>
      <c r="U26" s="81"/>
      <c r="V26" s="130"/>
      <c r="W26" s="130"/>
      <c r="X26" s="130"/>
    </row>
    <row r="27" spans="1:24" s="36" customFormat="1" ht="13.2" hidden="1" customHeight="1">
      <c r="E27" s="82"/>
      <c r="F27" s="144"/>
      <c r="G27" s="144"/>
      <c r="H27" s="144"/>
      <c r="I27" s="83"/>
      <c r="J27" s="83"/>
      <c r="K27" s="80"/>
      <c r="L27" s="80"/>
      <c r="M27" s="80"/>
      <c r="N27" s="85"/>
      <c r="O27" s="85"/>
      <c r="P27" s="85"/>
      <c r="Q27" s="85"/>
      <c r="R27" s="81"/>
      <c r="S27" s="81"/>
      <c r="T27" s="81"/>
      <c r="U27" s="81"/>
      <c r="V27" s="130"/>
      <c r="W27" s="130"/>
      <c r="X27" s="130"/>
    </row>
    <row r="28" spans="1:24" s="36" customFormat="1" ht="13.2" hidden="1" customHeight="1">
      <c r="E28" s="82"/>
      <c r="F28" s="144"/>
      <c r="G28" s="144"/>
      <c r="H28" s="144"/>
      <c r="I28" s="83"/>
      <c r="J28" s="83"/>
      <c r="K28" s="80"/>
      <c r="L28" s="80"/>
      <c r="M28" s="80"/>
      <c r="N28" s="85"/>
      <c r="O28" s="85"/>
      <c r="P28" s="85"/>
      <c r="Q28" s="85"/>
      <c r="R28" s="81"/>
      <c r="S28" s="81"/>
      <c r="T28" s="81"/>
      <c r="U28" s="81"/>
      <c r="V28" s="130"/>
      <c r="W28" s="130"/>
      <c r="X28" s="130"/>
    </row>
    <row r="29" spans="1:24" s="36" customFormat="1" ht="13.2" hidden="1" customHeight="1">
      <c r="E29" s="82"/>
      <c r="F29" s="144"/>
      <c r="G29" s="144"/>
      <c r="H29" s="144"/>
      <c r="I29" s="83"/>
      <c r="J29" s="83"/>
      <c r="K29" s="80"/>
      <c r="L29" s="80"/>
      <c r="M29" s="80"/>
      <c r="N29" s="85"/>
      <c r="O29" s="85"/>
      <c r="P29" s="85"/>
      <c r="Q29" s="85"/>
      <c r="R29" s="81"/>
      <c r="S29" s="81"/>
      <c r="T29" s="81"/>
      <c r="U29" s="81"/>
      <c r="V29" s="130"/>
      <c r="W29" s="130"/>
      <c r="X29" s="130"/>
    </row>
    <row r="30" spans="1:24" s="36" customFormat="1" ht="13.2" hidden="1" customHeight="1">
      <c r="E30" s="82"/>
      <c r="F30" s="144"/>
      <c r="G30" s="144"/>
      <c r="H30" s="144"/>
      <c r="I30" s="83"/>
      <c r="J30" s="83"/>
      <c r="K30" s="80"/>
      <c r="L30" s="80"/>
      <c r="M30" s="80"/>
      <c r="N30" s="85"/>
      <c r="O30" s="85"/>
      <c r="P30" s="85"/>
      <c r="Q30" s="85"/>
      <c r="R30" s="81"/>
      <c r="S30" s="81"/>
      <c r="T30" s="81"/>
      <c r="U30" s="81"/>
      <c r="V30" s="130"/>
      <c r="W30" s="130"/>
      <c r="X30" s="130"/>
    </row>
    <row r="31" spans="1:24" s="36" customFormat="1" ht="13.2" hidden="1" customHeight="1">
      <c r="E31" s="82"/>
      <c r="F31" s="144"/>
      <c r="G31" s="144"/>
      <c r="H31" s="144"/>
      <c r="I31" s="83"/>
      <c r="J31" s="83"/>
      <c r="K31" s="80"/>
      <c r="L31" s="80"/>
      <c r="M31" s="80"/>
      <c r="N31" s="85"/>
      <c r="O31" s="85"/>
      <c r="P31" s="85"/>
      <c r="Q31" s="85"/>
      <c r="R31" s="81"/>
      <c r="S31" s="81"/>
      <c r="T31" s="81"/>
      <c r="U31" s="81"/>
      <c r="V31" s="130"/>
      <c r="W31" s="130"/>
      <c r="X31" s="130"/>
    </row>
    <row r="32" spans="1:24" s="36" customFormat="1" ht="13.2" hidden="1" customHeight="1">
      <c r="E32" s="82"/>
      <c r="F32" s="144"/>
      <c r="G32" s="144"/>
      <c r="H32" s="144"/>
      <c r="I32" s="83"/>
      <c r="J32" s="83"/>
      <c r="K32" s="80"/>
      <c r="L32" s="80"/>
      <c r="M32" s="80"/>
      <c r="N32" s="85"/>
      <c r="O32" s="85"/>
      <c r="P32" s="85"/>
      <c r="Q32" s="85"/>
      <c r="R32" s="81"/>
      <c r="S32" s="81"/>
      <c r="T32" s="81"/>
      <c r="U32" s="81"/>
      <c r="V32" s="130"/>
      <c r="W32" s="130"/>
      <c r="X32" s="130"/>
    </row>
    <row r="33" spans="1:25" s="36" customFormat="1" ht="13.2" hidden="1" customHeight="1">
      <c r="E33" s="82"/>
      <c r="F33" s="144"/>
      <c r="G33" s="144"/>
      <c r="H33" s="144"/>
      <c r="I33" s="83"/>
      <c r="J33" s="83"/>
      <c r="K33" s="80"/>
      <c r="L33" s="80"/>
      <c r="M33" s="80"/>
      <c r="N33" s="85"/>
      <c r="O33" s="85"/>
      <c r="P33" s="85"/>
      <c r="Q33" s="85"/>
      <c r="R33" s="81"/>
      <c r="S33" s="81"/>
      <c r="T33" s="81"/>
      <c r="U33" s="81"/>
      <c r="V33" s="130"/>
      <c r="W33" s="130"/>
      <c r="X33" s="130"/>
    </row>
    <row r="34" spans="1:25" s="36" customFormat="1" ht="13.2" hidden="1" customHeight="1">
      <c r="E34" s="82"/>
      <c r="F34" s="144"/>
      <c r="G34" s="144"/>
      <c r="H34" s="144"/>
      <c r="I34" s="83"/>
      <c r="J34" s="83"/>
      <c r="K34" s="80"/>
      <c r="L34" s="80"/>
      <c r="M34" s="80"/>
      <c r="N34" s="85"/>
      <c r="O34" s="85"/>
      <c r="P34" s="85"/>
      <c r="Q34" s="85"/>
      <c r="R34" s="81"/>
      <c r="S34" s="81"/>
      <c r="T34" s="81"/>
      <c r="U34" s="81"/>
      <c r="V34" s="130"/>
      <c r="W34" s="130"/>
      <c r="X34" s="130"/>
    </row>
    <row r="35" spans="1:25" s="36" customFormat="1" ht="13.2" hidden="1" customHeight="1">
      <c r="E35" s="82"/>
      <c r="F35" s="144"/>
      <c r="G35" s="144"/>
      <c r="H35" s="144"/>
      <c r="I35" s="83"/>
      <c r="J35" s="83"/>
      <c r="K35" s="80"/>
      <c r="L35" s="80"/>
      <c r="M35" s="80"/>
      <c r="N35" s="85"/>
      <c r="O35" s="85"/>
      <c r="P35" s="85"/>
      <c r="Q35" s="85"/>
      <c r="R35" s="81"/>
      <c r="S35" s="81"/>
      <c r="T35" s="81"/>
      <c r="U35" s="81"/>
      <c r="V35" s="130"/>
      <c r="W35" s="130"/>
      <c r="X35" s="130"/>
    </row>
    <row r="36" spans="1:25" s="36" customFormat="1" ht="18" customHeight="1">
      <c r="E36" s="34"/>
      <c r="F36" s="34"/>
      <c r="G36" s="34"/>
      <c r="H36" s="34"/>
      <c r="I36" s="34"/>
      <c r="J36" s="34"/>
      <c r="K36" s="34"/>
      <c r="L36" s="132" t="s">
        <v>71</v>
      </c>
      <c r="M36" s="84">
        <f>SUM(Table_Query_from_MS_Access_Database8[[#All],[HURF EX]])</f>
        <v>0</v>
      </c>
      <c r="N36" s="84">
        <f>SUM(Table_Query_from_MS_Access_Database8[[#All],[PL]])</f>
        <v>0</v>
      </c>
      <c r="O36" s="84">
        <f>SUM(Table_Query_from_MS_Access_Database8[[#All],[PL-SATO]])</f>
        <v>0</v>
      </c>
      <c r="P36" s="84">
        <f>SUM(Table_Query_from_MS_Access_Database8[[#All],[SPR]])</f>
        <v>91250</v>
      </c>
      <c r="Q36" s="84">
        <f>SUM(Table_Query_from_MS_Access_Database8[[#All],[STP &lt;5]])</f>
        <v>0</v>
      </c>
      <c r="R36" s="84">
        <f>SUM(Table_Query_from_MS_Access_Database8[[#All],[STP 5-200]])</f>
        <v>0</v>
      </c>
      <c r="S36" s="84">
        <f>SUM(Table_Query_from_MS_Access_Database8[[#All],[STP 5-50]])</f>
        <v>0</v>
      </c>
      <c r="T36" s="84">
        <f>SUM(Table_Query_from_MS_Access_Database8[[#All],[STP 50-200]])</f>
        <v>0</v>
      </c>
      <c r="U36" s="84">
        <f>SUM(Table_Query_from_MS_Access_Database8[[#All],[CRP 50-200]])</f>
        <v>0</v>
      </c>
      <c r="V36" s="84">
        <f>SUM(Table_Query_from_MS_Access_Database8[[#All],[STP OTHER]])</f>
        <v>0</v>
      </c>
      <c r="W36" s="84">
        <f>SUM(Table_Query_from_MS_Access_Database8[[#All],[TOTAL OF AMOUNT]])</f>
        <v>91249.999999999985</v>
      </c>
    </row>
    <row r="37" spans="1:25" ht="29.25" customHeight="1">
      <c r="A37" s="58"/>
      <c r="B37" s="58"/>
      <c r="C37" s="58"/>
      <c r="D37" s="58"/>
      <c r="E37" s="34"/>
      <c r="F37" s="34"/>
      <c r="G37" s="34"/>
      <c r="H37" s="34"/>
      <c r="I37" s="34"/>
      <c r="J37" s="34"/>
      <c r="K37" s="34"/>
      <c r="L37" s="133" t="s">
        <v>70</v>
      </c>
      <c r="M37" s="84">
        <f t="shared" ref="M37" si="5">M12-M36</f>
        <v>0</v>
      </c>
      <c r="N37" s="84">
        <f t="shared" ref="N37:V37" si="6">N12-N36</f>
        <v>162938</v>
      </c>
      <c r="O37" s="84">
        <f t="shared" si="6"/>
        <v>4178</v>
      </c>
      <c r="P37" s="84">
        <f t="shared" si="6"/>
        <v>33750</v>
      </c>
      <c r="Q37" s="84">
        <f t="shared" si="6"/>
        <v>104782</v>
      </c>
      <c r="R37" s="84">
        <f t="shared" si="6"/>
        <v>0</v>
      </c>
      <c r="S37" s="84">
        <f t="shared" si="6"/>
        <v>29204</v>
      </c>
      <c r="T37" s="84">
        <f t="shared" si="6"/>
        <v>557510</v>
      </c>
      <c r="U37" s="84">
        <f t="shared" si="6"/>
        <v>353479</v>
      </c>
      <c r="V37" s="84">
        <f t="shared" si="6"/>
        <v>0</v>
      </c>
      <c r="W37" s="84">
        <f>W12-W36</f>
        <v>1245841</v>
      </c>
    </row>
    <row r="38" spans="1:25">
      <c r="A38" s="38"/>
      <c r="B38" s="38"/>
      <c r="C38" s="38"/>
      <c r="D38" s="38"/>
      <c r="E38" s="35"/>
      <c r="F38" s="35"/>
      <c r="G38" s="35"/>
      <c r="H38" s="35"/>
      <c r="I38" s="35"/>
      <c r="J38" s="35"/>
      <c r="K38" s="35"/>
      <c r="L38" s="35"/>
      <c r="M38" s="38"/>
      <c r="N38" s="38"/>
      <c r="O38" s="38"/>
      <c r="P38" s="38"/>
      <c r="Q38" s="38"/>
      <c r="R38" s="38"/>
      <c r="S38" s="29"/>
      <c r="T38" s="36"/>
      <c r="U38" s="36"/>
      <c r="V38" s="53"/>
    </row>
    <row r="39" spans="1:25" ht="15.6">
      <c r="A39" s="180" t="s">
        <v>34</v>
      </c>
      <c r="B39" s="180"/>
      <c r="C39" s="180"/>
      <c r="D39" s="180"/>
      <c r="E39" s="37"/>
      <c r="F39" s="168"/>
      <c r="G39" s="38"/>
      <c r="H39" s="38"/>
      <c r="I39" s="38"/>
      <c r="J39" s="40"/>
      <c r="K39" s="39"/>
      <c r="L39" s="39"/>
      <c r="M39" s="39"/>
      <c r="N39" s="39"/>
      <c r="O39" s="29"/>
      <c r="P39" s="29"/>
      <c r="Q39" s="35"/>
      <c r="R39" s="35"/>
      <c r="S39" s="29"/>
      <c r="T39" s="36"/>
      <c r="U39" s="36"/>
      <c r="V39" s="41"/>
    </row>
    <row r="40" spans="1:25" ht="26.4" customHeight="1">
      <c r="A40" s="54" t="s">
        <v>1</v>
      </c>
      <c r="B40" s="54" t="s">
        <v>0</v>
      </c>
      <c r="C40" s="54" t="s">
        <v>3</v>
      </c>
      <c r="D40" s="54" t="s">
        <v>78</v>
      </c>
      <c r="E40" s="54" t="s">
        <v>2</v>
      </c>
      <c r="F40" s="54" t="s">
        <v>45</v>
      </c>
      <c r="G40" s="54" t="s">
        <v>46</v>
      </c>
      <c r="H40" s="54" t="s">
        <v>47</v>
      </c>
      <c r="I40" s="54" t="s">
        <v>48</v>
      </c>
      <c r="J40" s="54" t="s">
        <v>49</v>
      </c>
      <c r="K40" s="54" t="s">
        <v>50</v>
      </c>
      <c r="L40" s="54" t="s">
        <v>51</v>
      </c>
      <c r="M40" s="54" t="s">
        <v>100</v>
      </c>
      <c r="N40" s="54" t="s">
        <v>41</v>
      </c>
      <c r="O40" s="54" t="s">
        <v>116</v>
      </c>
      <c r="P40" s="54" t="s">
        <v>5</v>
      </c>
      <c r="Q40" s="54" t="s">
        <v>91</v>
      </c>
      <c r="R40" s="54" t="s">
        <v>98</v>
      </c>
      <c r="S40" s="54" t="s">
        <v>117</v>
      </c>
      <c r="T40" s="54" t="s">
        <v>118</v>
      </c>
      <c r="U40" s="54" t="s">
        <v>119</v>
      </c>
      <c r="V40" s="128" t="s">
        <v>52</v>
      </c>
      <c r="W40" s="54" t="s">
        <v>53</v>
      </c>
      <c r="X40" s="54" t="s">
        <v>86</v>
      </c>
    </row>
    <row r="41" spans="1:25" ht="16.5" customHeight="1">
      <c r="A41" s="87" t="s">
        <v>157</v>
      </c>
      <c r="B41" s="87"/>
      <c r="C41" s="87" t="s">
        <v>133</v>
      </c>
      <c r="D41" s="87" t="s">
        <v>161</v>
      </c>
      <c r="E41" s="88" t="s">
        <v>158</v>
      </c>
      <c r="F41" s="89" t="s">
        <v>149</v>
      </c>
      <c r="G41" s="90" t="s">
        <v>150</v>
      </c>
      <c r="H41" s="90" t="s">
        <v>159</v>
      </c>
      <c r="I41" s="121">
        <v>46174</v>
      </c>
      <c r="J41" s="91"/>
      <c r="K41" s="92"/>
      <c r="L41" s="92"/>
      <c r="M41" s="141"/>
      <c r="N41" s="93"/>
      <c r="O41" s="93"/>
      <c r="P41" s="93">
        <v>31250</v>
      </c>
      <c r="Q41" s="93"/>
      <c r="R41" s="94"/>
      <c r="S41" s="94"/>
      <c r="T41" s="94"/>
      <c r="U41" s="94"/>
      <c r="V41" s="124"/>
      <c r="W41" s="41">
        <f>SUM(Table_Query_from_MS_Access_Database_1[[#This Row],[HURF EX]:[STP OTHER]])</f>
        <v>31250</v>
      </c>
      <c r="X41" s="41">
        <f ca="1">IF(ISTEXT(INDIRECT(ADDRESS(ROW()-1,COLUMN()))),INDIRECT(ADDRESS(12,COLUMN()))-SUM(Table_Query_from_MS_Access_Database8[TOTAL OF AMOUNT]),INDIRECT(ADDRESS(ROW()-1,COLUMN())))-Table_Query_from_MS_Access_Database_1[[#This Row],[TOTAL]]</f>
        <v>1117100.48</v>
      </c>
    </row>
    <row r="42" spans="1:25" ht="16.5" customHeight="1">
      <c r="A42" s="41" t="s">
        <v>171</v>
      </c>
      <c r="B42" s="41" t="s">
        <v>172</v>
      </c>
      <c r="C42" s="41" t="s">
        <v>133</v>
      </c>
      <c r="D42" s="41" t="s">
        <v>8</v>
      </c>
      <c r="E42" s="75" t="s">
        <v>173</v>
      </c>
      <c r="F42" s="143" t="s">
        <v>149</v>
      </c>
      <c r="G42" s="144" t="s">
        <v>174</v>
      </c>
      <c r="H42" s="144" t="s">
        <v>159</v>
      </c>
      <c r="I42" s="83">
        <v>46174</v>
      </c>
      <c r="J42" s="83"/>
      <c r="K42" s="80"/>
      <c r="L42" s="80"/>
      <c r="M42" s="145"/>
      <c r="N42" s="85">
        <v>162938</v>
      </c>
      <c r="O42" s="85"/>
      <c r="P42" s="85"/>
      <c r="Q42" s="85"/>
      <c r="R42" s="81"/>
      <c r="S42" s="81"/>
      <c r="T42" s="81"/>
      <c r="U42" s="81"/>
      <c r="V42" s="41"/>
      <c r="W42" s="41">
        <f>SUM(Table_Query_from_MS_Access_Database_1[[#This Row],[HURF EX]:[STP OTHER]])</f>
        <v>162938</v>
      </c>
      <c r="X42" s="41">
        <f ca="1">IF(ISTEXT(INDIRECT(ADDRESS(ROW()-1,COLUMN()))),INDIRECT(ADDRESS(12,COLUMN()))-SUM(Table_Query_from_MS_Access_Database8[TOTAL OF AMOUNT]),INDIRECT(ADDRESS(ROW()-1,COLUMN())))-Table_Query_from_MS_Access_Database_1[[#This Row],[TOTAL]]</f>
        <v>954162.48</v>
      </c>
      <c r="Y42" s="41"/>
    </row>
    <row r="43" spans="1:25" ht="16.5" customHeight="1">
      <c r="A43" s="41" t="s">
        <v>175</v>
      </c>
      <c r="B43" s="41" t="s">
        <v>172</v>
      </c>
      <c r="C43" s="41" t="s">
        <v>133</v>
      </c>
      <c r="D43" s="41" t="s">
        <v>8</v>
      </c>
      <c r="E43" s="75" t="s">
        <v>176</v>
      </c>
      <c r="F43" s="143" t="s">
        <v>149</v>
      </c>
      <c r="G43" s="144" t="s">
        <v>174</v>
      </c>
      <c r="H43" s="144" t="s">
        <v>159</v>
      </c>
      <c r="I43" s="83">
        <v>46174</v>
      </c>
      <c r="J43" s="83"/>
      <c r="K43" s="80"/>
      <c r="L43" s="80"/>
      <c r="M43" s="145"/>
      <c r="N43" s="85"/>
      <c r="O43" s="85">
        <v>4178</v>
      </c>
      <c r="P43" s="85"/>
      <c r="Q43" s="85"/>
      <c r="R43" s="81"/>
      <c r="S43" s="81"/>
      <c r="T43" s="81"/>
      <c r="U43" s="81"/>
      <c r="V43" s="41"/>
      <c r="W43" s="41">
        <f>SUM(Table_Query_from_MS_Access_Database_1[[#This Row],[HURF EX]:[STP OTHER]])</f>
        <v>4178</v>
      </c>
      <c r="X43" s="41">
        <f ca="1">IF(ISTEXT(INDIRECT(ADDRESS(ROW()-1,COLUMN()))),INDIRECT(ADDRESS(12,COLUMN()))-SUM(Table_Query_from_MS_Access_Database8[TOTAL OF AMOUNT]),INDIRECT(ADDRESS(ROW()-1,COLUMN())))-Table_Query_from_MS_Access_Database_1[[#This Row],[TOTAL]]</f>
        <v>949984.48</v>
      </c>
      <c r="Y43" s="41"/>
    </row>
    <row r="44" spans="1:25" ht="16.5" hidden="1" customHeight="1">
      <c r="A44" s="41"/>
      <c r="B44" s="41"/>
      <c r="C44" s="41"/>
      <c r="D44" s="41"/>
      <c r="E44" s="75"/>
      <c r="F44" s="143"/>
      <c r="G44" s="144"/>
      <c r="H44" s="144"/>
      <c r="I44" s="83"/>
      <c r="J44" s="83"/>
      <c r="K44" s="80"/>
      <c r="L44" s="80"/>
      <c r="M44" s="145"/>
      <c r="N44" s="85"/>
      <c r="O44" s="85"/>
      <c r="P44" s="85"/>
      <c r="Q44" s="85"/>
      <c r="R44" s="81"/>
      <c r="S44" s="81"/>
      <c r="T44" s="81"/>
      <c r="U44" s="81"/>
      <c r="V44" s="41"/>
      <c r="W44" s="41"/>
      <c r="X44" s="41"/>
      <c r="Y44" s="41"/>
    </row>
    <row r="45" spans="1:25" ht="16.5" hidden="1" customHeight="1">
      <c r="A45" s="41"/>
      <c r="B45" s="41"/>
      <c r="C45" s="41"/>
      <c r="D45" s="41"/>
      <c r="E45" s="75"/>
      <c r="F45" s="143"/>
      <c r="G45" s="144"/>
      <c r="H45" s="144"/>
      <c r="I45" s="83"/>
      <c r="J45" s="83"/>
      <c r="K45" s="80"/>
      <c r="L45" s="80"/>
      <c r="M45" s="145"/>
      <c r="N45" s="85"/>
      <c r="O45" s="85"/>
      <c r="P45" s="85"/>
      <c r="Q45" s="85"/>
      <c r="R45" s="81"/>
      <c r="S45" s="81"/>
      <c r="T45" s="81"/>
      <c r="U45" s="81"/>
      <c r="V45" s="41"/>
      <c r="W45" s="41"/>
      <c r="X45" s="41"/>
      <c r="Y45" s="41"/>
    </row>
    <row r="46" spans="1:25" ht="16.5" hidden="1" customHeight="1">
      <c r="A46" s="41"/>
      <c r="B46" s="41"/>
      <c r="C46" s="41"/>
      <c r="D46" s="41"/>
      <c r="E46" s="75"/>
      <c r="F46" s="143"/>
      <c r="G46" s="144"/>
      <c r="H46" s="144"/>
      <c r="I46" s="83"/>
      <c r="J46" s="83"/>
      <c r="K46" s="80"/>
      <c r="L46" s="80"/>
      <c r="M46" s="145"/>
      <c r="N46" s="85"/>
      <c r="O46" s="85"/>
      <c r="P46" s="85"/>
      <c r="Q46" s="85"/>
      <c r="R46" s="81"/>
      <c r="S46" s="81"/>
      <c r="T46" s="81"/>
      <c r="U46" s="81"/>
      <c r="V46" s="41"/>
      <c r="W46" s="41"/>
      <c r="X46" s="41"/>
      <c r="Y46" s="41"/>
    </row>
    <row r="47" spans="1:25" ht="16.5" hidden="1" customHeight="1">
      <c r="A47" s="41"/>
      <c r="B47" s="41"/>
      <c r="C47" s="41"/>
      <c r="D47" s="41"/>
      <c r="E47" s="75"/>
      <c r="F47" s="143"/>
      <c r="G47" s="144"/>
      <c r="H47" s="144"/>
      <c r="I47" s="83"/>
      <c r="J47" s="83"/>
      <c r="K47" s="80"/>
      <c r="L47" s="80"/>
      <c r="M47" s="145"/>
      <c r="N47" s="146"/>
      <c r="O47" s="85"/>
      <c r="P47" s="85"/>
      <c r="Q47" s="85"/>
      <c r="R47" s="85"/>
      <c r="S47" s="81"/>
      <c r="T47" s="81"/>
      <c r="U47" s="81"/>
      <c r="V47" s="81"/>
      <c r="W47" s="41"/>
      <c r="X47" s="41"/>
      <c r="Y47" s="41"/>
    </row>
    <row r="48" spans="1:25" ht="16.5" hidden="1" customHeight="1">
      <c r="A48" s="41"/>
      <c r="B48" s="41"/>
      <c r="C48" s="41"/>
      <c r="D48" s="41"/>
      <c r="E48" s="75"/>
      <c r="F48" s="143"/>
      <c r="G48" s="144"/>
      <c r="H48" s="144"/>
      <c r="I48" s="83"/>
      <c r="J48" s="83"/>
      <c r="K48" s="80"/>
      <c r="L48" s="80"/>
      <c r="M48" s="145"/>
      <c r="N48" s="146"/>
      <c r="O48" s="85"/>
      <c r="P48" s="85"/>
      <c r="Q48" s="85"/>
      <c r="R48" s="85"/>
      <c r="S48" s="81"/>
      <c r="T48" s="81"/>
      <c r="U48" s="81"/>
      <c r="V48" s="81"/>
      <c r="W48" s="41"/>
      <c r="X48" s="41"/>
      <c r="Y48" s="41"/>
    </row>
    <row r="49" spans="1:24" ht="31.5" customHeight="1">
      <c r="A49" s="36"/>
      <c r="B49" s="36"/>
      <c r="C49" s="36"/>
      <c r="D49" s="36"/>
      <c r="E49" s="36"/>
      <c r="F49" s="169"/>
      <c r="G49" s="169"/>
      <c r="H49" s="169"/>
      <c r="I49" s="36"/>
      <c r="J49" s="41"/>
      <c r="K49" s="41"/>
      <c r="L49" s="55" t="s">
        <v>80</v>
      </c>
      <c r="M49" s="86">
        <f>SUM(Table_Query_from_MS_Access_Database_1[[#All],[HURF EX]])</f>
        <v>0</v>
      </c>
      <c r="N49" s="86">
        <f>SUM(Table_Query_from_MS_Access_Database_1[[#All],[PL]])</f>
        <v>162938</v>
      </c>
      <c r="O49" s="86">
        <f>SUM(Table_Query_from_MS_Access_Database_1[[#All],[PL-SATO]])</f>
        <v>4178</v>
      </c>
      <c r="P49" s="86">
        <f>SUM(Table_Query_from_MS_Access_Database_1[[#All],[SPR]])</f>
        <v>31250</v>
      </c>
      <c r="Q49" s="86">
        <f>SUM(Table_Query_from_MS_Access_Database_1[[#All],[STP &lt;5]])</f>
        <v>0</v>
      </c>
      <c r="R49" s="86">
        <f>SUM(Table_Query_from_MS_Access_Database_1[[#All],[STP 5-200]])</f>
        <v>0</v>
      </c>
      <c r="S49" s="86">
        <f>SUM(Table_Query_from_MS_Access_Database_1[[#All],[STP 5-50]])</f>
        <v>0</v>
      </c>
      <c r="T49" s="86">
        <f>SUM(Table_Query_from_MS_Access_Database_1[[#All],[STP 50-200]])</f>
        <v>0</v>
      </c>
      <c r="U49" s="86">
        <f>SUM(Table_Query_from_MS_Access_Database_1[[#All],[CRP 50-200]])</f>
        <v>0</v>
      </c>
      <c r="V49" s="86">
        <f>SUM(Table_Query_from_MS_Access_Database_1[[#All],[STP OTHER]])</f>
        <v>0</v>
      </c>
      <c r="W49" s="86">
        <f>SUM(Table_Query_from_MS_Access_Database_1[[#All],[TOTAL]])</f>
        <v>198366</v>
      </c>
    </row>
    <row r="50" spans="1:24" ht="24">
      <c r="A50" s="36"/>
      <c r="B50" s="36"/>
      <c r="C50" s="36"/>
      <c r="D50" s="36"/>
      <c r="E50" s="36"/>
      <c r="F50" s="169"/>
      <c r="G50" s="169"/>
      <c r="H50" s="169"/>
      <c r="I50" s="36"/>
      <c r="J50" s="41"/>
      <c r="K50" s="41"/>
      <c r="L50" s="56" t="s">
        <v>70</v>
      </c>
      <c r="M50" s="84">
        <f t="shared" ref="M50" si="7">M37-M49</f>
        <v>0</v>
      </c>
      <c r="N50" s="84">
        <f t="shared" ref="N50:V50" si="8">N37-N49</f>
        <v>0</v>
      </c>
      <c r="O50" s="84">
        <f t="shared" si="8"/>
        <v>0</v>
      </c>
      <c r="P50" s="84">
        <f t="shared" si="8"/>
        <v>2500</v>
      </c>
      <c r="Q50" s="84">
        <f t="shared" si="8"/>
        <v>104782</v>
      </c>
      <c r="R50" s="84">
        <f t="shared" si="8"/>
        <v>0</v>
      </c>
      <c r="S50" s="84">
        <f t="shared" si="8"/>
        <v>29204</v>
      </c>
      <c r="T50" s="84">
        <f t="shared" si="8"/>
        <v>557510</v>
      </c>
      <c r="U50" s="84">
        <f t="shared" si="8"/>
        <v>353479</v>
      </c>
      <c r="V50" s="84">
        <f t="shared" si="8"/>
        <v>0</v>
      </c>
      <c r="W50" s="84">
        <f>W37-W49</f>
        <v>1047475</v>
      </c>
    </row>
    <row r="51" spans="1:24">
      <c r="J51" s="27"/>
      <c r="K51" s="27"/>
      <c r="L51" s="27"/>
      <c r="M51" s="142">
        <f t="shared" ref="M51" si="9">M36+M49</f>
        <v>0</v>
      </c>
      <c r="N51" s="142">
        <f t="shared" ref="N51:V51" si="10">N36+N49</f>
        <v>162938</v>
      </c>
      <c r="O51" s="142">
        <f t="shared" si="10"/>
        <v>4178</v>
      </c>
      <c r="P51" s="142">
        <f t="shared" si="10"/>
        <v>122500</v>
      </c>
      <c r="Q51" s="142">
        <f t="shared" si="10"/>
        <v>0</v>
      </c>
      <c r="R51" s="142">
        <f t="shared" si="10"/>
        <v>0</v>
      </c>
      <c r="S51" s="142">
        <f t="shared" si="10"/>
        <v>0</v>
      </c>
      <c r="T51" s="142">
        <f t="shared" si="10"/>
        <v>0</v>
      </c>
      <c r="U51" s="142">
        <f t="shared" si="10"/>
        <v>0</v>
      </c>
      <c r="V51" s="142">
        <f t="shared" si="10"/>
        <v>0</v>
      </c>
      <c r="W51" s="142">
        <f>W36+W49</f>
        <v>289616</v>
      </c>
    </row>
    <row r="52" spans="1:24" ht="17.25" customHeight="1">
      <c r="J52" s="27"/>
      <c r="K52" s="27"/>
      <c r="L52" s="27"/>
      <c r="M52" s="27"/>
      <c r="Q52" s="24"/>
      <c r="R52" s="24"/>
      <c r="S52" s="41"/>
      <c r="T52" s="58"/>
    </row>
    <row r="53" spans="1:24" ht="15.6">
      <c r="A53" s="42" t="s">
        <v>72</v>
      </c>
      <c r="J53" s="27"/>
      <c r="K53" s="27"/>
      <c r="L53" s="27"/>
      <c r="M53" s="178" t="s">
        <v>55</v>
      </c>
      <c r="N53" s="178"/>
      <c r="O53" s="178"/>
      <c r="P53" s="178"/>
      <c r="Q53" s="178"/>
      <c r="R53" s="178"/>
      <c r="S53" s="178"/>
      <c r="T53" s="178"/>
      <c r="U53" s="178"/>
      <c r="V53" s="178"/>
      <c r="W53" s="178"/>
      <c r="X53" s="178"/>
    </row>
    <row r="54" spans="1:24">
      <c r="A54" s="36"/>
      <c r="B54" s="36"/>
      <c r="C54" s="36"/>
      <c r="D54" s="36"/>
      <c r="E54" s="36"/>
      <c r="F54" s="169"/>
      <c r="G54" s="169"/>
      <c r="H54" s="169"/>
      <c r="I54" s="36"/>
      <c r="J54" s="41"/>
      <c r="K54" s="41"/>
      <c r="L54" s="63"/>
      <c r="M54" s="74" t="s">
        <v>100</v>
      </c>
      <c r="N54" s="74" t="s">
        <v>41</v>
      </c>
      <c r="O54" s="74" t="s">
        <v>116</v>
      </c>
      <c r="P54" s="74" t="s">
        <v>5</v>
      </c>
      <c r="Q54" s="74" t="s">
        <v>91</v>
      </c>
      <c r="R54" s="74" t="s">
        <v>98</v>
      </c>
      <c r="S54" s="74" t="s">
        <v>117</v>
      </c>
      <c r="T54" s="74" t="s">
        <v>118</v>
      </c>
      <c r="U54" s="74" t="s">
        <v>119</v>
      </c>
      <c r="V54" s="74" t="s">
        <v>52</v>
      </c>
      <c r="W54" s="74" t="s">
        <v>53</v>
      </c>
      <c r="X54" s="64" t="s">
        <v>56</v>
      </c>
    </row>
    <row r="55" spans="1:24">
      <c r="A55" s="139"/>
      <c r="B55" s="140"/>
      <c r="C55" s="140"/>
      <c r="D55" s="140"/>
      <c r="E55" s="140"/>
      <c r="F55" s="170"/>
      <c r="G55" s="170"/>
      <c r="H55" s="170"/>
      <c r="I55" s="140"/>
      <c r="J55" s="140"/>
      <c r="K55" s="140"/>
      <c r="L55" s="60" t="s">
        <v>141</v>
      </c>
      <c r="M55" s="62">
        <f t="shared" ref="M55:V55" si="11">M50</f>
        <v>0</v>
      </c>
      <c r="N55" s="62">
        <f t="shared" si="11"/>
        <v>0</v>
      </c>
      <c r="O55" s="62">
        <f t="shared" si="11"/>
        <v>0</v>
      </c>
      <c r="P55" s="62">
        <f t="shared" si="11"/>
        <v>2500</v>
      </c>
      <c r="Q55" s="62">
        <f t="shared" si="11"/>
        <v>104782</v>
      </c>
      <c r="R55" s="62">
        <f t="shared" si="11"/>
        <v>0</v>
      </c>
      <c r="S55" s="62">
        <f t="shared" si="11"/>
        <v>29204</v>
      </c>
      <c r="T55" s="62">
        <f t="shared" si="11"/>
        <v>557510</v>
      </c>
      <c r="U55" s="62">
        <f t="shared" si="11"/>
        <v>353479</v>
      </c>
      <c r="V55" s="62">
        <f t="shared" si="11"/>
        <v>0</v>
      </c>
      <c r="W55" s="62">
        <f>SUM(M55:V55)</f>
        <v>1047475</v>
      </c>
      <c r="X55" s="62">
        <f ca="1">X43</f>
        <v>949984.48</v>
      </c>
    </row>
    <row r="56" spans="1:24">
      <c r="A56" s="36"/>
      <c r="B56" s="36"/>
      <c r="C56" s="36"/>
      <c r="D56" s="36"/>
      <c r="E56" s="36"/>
      <c r="F56" s="169"/>
      <c r="G56" s="169"/>
      <c r="H56" s="169"/>
      <c r="I56" s="36"/>
      <c r="J56" s="41"/>
      <c r="K56" s="41"/>
      <c r="L56" s="60" t="s">
        <v>142</v>
      </c>
      <c r="M56" s="73">
        <f>SUMIFS(Table_Query_from_MS_Access_Database[[#All],[Notes]],Table_Query_from_MS_Access_Database[[#All],[Transaction Year]],"2022",Table_Query_from_MS_Access_Database[[#All],[Transaction Type]],"Lapsing")</f>
        <v>0</v>
      </c>
      <c r="N56" s="73">
        <f>SUMIFS(Table_Query_from_MS_Access_Database[[#All],[Notes]],Table_Query_from_MS_Access_Database[[#All],[Transaction Year]],"2022",Table_Query_from_MS_Access_Database[[#All],[Transaction Type]],"Lapsing")</f>
        <v>0</v>
      </c>
      <c r="O56" s="73">
        <f>SUMIFS(Table_Query_from_MS_Access_Database[[#All],[Notes]],Table_Query_from_MS_Access_Database[[#All],[Transaction Year]],"2022",Table_Query_from_MS_Access_Database[[#All],[Transaction Type]],"Lapsing")</f>
        <v>0</v>
      </c>
      <c r="P56" s="73">
        <f>SUMIFS(Table_Query_from_MS_Access_Database[[#All],[Notes]],Table_Query_from_MS_Access_Database[[#All],[Transaction Year]],"2022",Table_Query_from_MS_Access_Database[[#All],[Transaction Type]],"Lapsing")</f>
        <v>0</v>
      </c>
      <c r="Q56" s="73">
        <f>SUMIFS(Table_Query_from_MS_Access_Database[[#All],[Notes]],Table_Query_from_MS_Access_Database[[#All],[Transaction Year]],"2022",Table_Query_from_MS_Access_Database[[#All],[Transaction Type]],"Lapsing")</f>
        <v>0</v>
      </c>
      <c r="R56" s="73">
        <f>SUMIFS(Table_Query_from_MS_Access_Database[[#All],[Notes]],Table_Query_from_MS_Access_Database[[#All],[Transaction Year]],"2022",Table_Query_from_MS_Access_Database[[#All],[Transaction Type]],"Lapsing")</f>
        <v>0</v>
      </c>
      <c r="S56" s="73">
        <f>SUMIFS(Table_Query_from_MS_Access_Database[[#All],[Notes]],Table_Query_from_MS_Access_Database[[#All],[Transaction Year]],"2022",Table_Query_from_MS_Access_Database[[#All],[Transaction Type]],"Lapsing")</f>
        <v>0</v>
      </c>
      <c r="T56" s="73">
        <f>SUMIFS(Table_Query_from_MS_Access_Database[[#All],[Notes]],Table_Query_from_MS_Access_Database[[#All],[Transaction Year]],"2022",Table_Query_from_MS_Access_Database[[#All],[Transaction Type]],"Lapsing")</f>
        <v>0</v>
      </c>
      <c r="U56" s="73">
        <f>SUMIFS(Table_Query_from_MS_Access_Database[[#All],[Notes]],Table_Query_from_MS_Access_Database[[#All],[Transaction Year]],"2022",Table_Query_from_MS_Access_Database[[#All],[Transaction Type]],"Lapsing")</f>
        <v>0</v>
      </c>
      <c r="V56" s="73">
        <f>SUMIFS(Table_Query_from_MS_Access_Database[[#All],[Notes]],Table_Query_from_MS_Access_Database[[#All],[Transaction Year]],"2022",Table_Query_from_MS_Access_Database[[#All],[Transaction Type]],"Lapsing")</f>
        <v>0</v>
      </c>
      <c r="W56" s="73">
        <f>SUM(N56:V56)</f>
        <v>0</v>
      </c>
      <c r="X56" s="73">
        <f>SUMIFS(Table_Query_from_MS_Access_Database_16[[#All],[To]],Table_Query_from_MS_Access_Database_16[[#All],[Transaction Year]],"2019",Table_Query_from_MS_Access_Database_16[[#All],[Transaction Type]],"Lapsing")</f>
        <v>0</v>
      </c>
    </row>
    <row r="57" spans="1:24">
      <c r="B57" s="36"/>
      <c r="C57" s="36"/>
      <c r="D57" s="36"/>
      <c r="E57" s="36"/>
      <c r="F57" s="169"/>
      <c r="G57" s="169"/>
      <c r="H57" s="169"/>
      <c r="I57" s="36"/>
      <c r="J57" s="41"/>
      <c r="K57" s="41"/>
      <c r="L57" s="60" t="s">
        <v>143</v>
      </c>
      <c r="M57" s="62">
        <f>SUM(M55:M56)</f>
        <v>0</v>
      </c>
      <c r="N57" s="62">
        <f t="shared" ref="N57:V57" si="12">SUM(N55:N56)</f>
        <v>0</v>
      </c>
      <c r="O57" s="62">
        <f t="shared" si="12"/>
        <v>0</v>
      </c>
      <c r="P57" s="62">
        <f t="shared" si="12"/>
        <v>2500</v>
      </c>
      <c r="Q57" s="62">
        <f t="shared" si="12"/>
        <v>104782</v>
      </c>
      <c r="R57" s="62">
        <f t="shared" si="12"/>
        <v>0</v>
      </c>
      <c r="S57" s="62">
        <f t="shared" si="12"/>
        <v>29204</v>
      </c>
      <c r="T57" s="62">
        <f t="shared" si="12"/>
        <v>557510</v>
      </c>
      <c r="U57" s="62">
        <f t="shared" si="12"/>
        <v>353479</v>
      </c>
      <c r="V57" s="62">
        <f t="shared" si="12"/>
        <v>0</v>
      </c>
      <c r="W57" s="62">
        <f>SUM(N57:V57)</f>
        <v>1047475</v>
      </c>
      <c r="X57" s="62">
        <f ca="1">SUM(X55:X56)</f>
        <v>949984.48</v>
      </c>
    </row>
    <row r="58" spans="1:24">
      <c r="A58" s="36"/>
      <c r="B58" s="36"/>
      <c r="C58" s="36"/>
      <c r="D58" s="36"/>
      <c r="E58" s="36"/>
      <c r="F58" s="169"/>
      <c r="G58" s="169"/>
      <c r="H58" s="169"/>
      <c r="I58" s="36"/>
      <c r="J58" s="41"/>
      <c r="K58" s="41"/>
      <c r="L58" s="61" t="s">
        <v>177</v>
      </c>
      <c r="M58" s="73">
        <f t="shared" ref="M58:T58" si="13">+M55-M50</f>
        <v>0</v>
      </c>
      <c r="N58" s="73">
        <f t="shared" si="13"/>
        <v>0</v>
      </c>
      <c r="O58" s="73">
        <f t="shared" si="13"/>
        <v>0</v>
      </c>
      <c r="P58" s="73">
        <f t="shared" si="13"/>
        <v>0</v>
      </c>
      <c r="Q58" s="73">
        <f t="shared" si="13"/>
        <v>0</v>
      </c>
      <c r="R58" s="73">
        <f t="shared" si="13"/>
        <v>0</v>
      </c>
      <c r="S58" s="73">
        <f t="shared" si="13"/>
        <v>0</v>
      </c>
      <c r="T58" s="73">
        <f t="shared" si="13"/>
        <v>0</v>
      </c>
      <c r="U58" s="73">
        <v>0</v>
      </c>
      <c r="V58" s="73">
        <f>+V55-V50</f>
        <v>0</v>
      </c>
      <c r="W58" s="73">
        <f>SUM(N58:V58)</f>
        <v>0</v>
      </c>
      <c r="X58" s="73">
        <v>0</v>
      </c>
    </row>
    <row r="60" spans="1:24">
      <c r="U60" s="27"/>
      <c r="V60" s="27"/>
      <c r="W60" s="27"/>
    </row>
    <row r="61" spans="1:24">
      <c r="U61" s="27"/>
      <c r="V61" s="27"/>
      <c r="W61" s="27"/>
    </row>
    <row r="62" spans="1:24" ht="14.4">
      <c r="A62" t="s">
        <v>184</v>
      </c>
    </row>
    <row r="64" spans="1:24" ht="14.4">
      <c r="A64" t="s">
        <v>155</v>
      </c>
      <c r="B64"/>
    </row>
    <row r="65" spans="1:2" ht="14.4">
      <c r="A65"/>
      <c r="B65" t="s">
        <v>152</v>
      </c>
    </row>
    <row r="66" spans="1:2" ht="14.4">
      <c r="A66"/>
      <c r="B66" t="s">
        <v>153</v>
      </c>
    </row>
    <row r="67" spans="1:2" ht="14.4">
      <c r="A67"/>
      <c r="B67" t="s">
        <v>154</v>
      </c>
    </row>
  </sheetData>
  <sheetProtection autoFilter="0"/>
  <mergeCells count="9">
    <mergeCell ref="M53:X53"/>
    <mergeCell ref="M1:X1"/>
    <mergeCell ref="A39:D39"/>
    <mergeCell ref="A1:F1"/>
    <mergeCell ref="A14:D14"/>
    <mergeCell ref="I14:L14"/>
    <mergeCell ref="M2:X2"/>
    <mergeCell ref="A5:D5"/>
    <mergeCell ref="A3:C3"/>
  </mergeCells>
  <pageMargins left="0.5" right="0.25" top="0.75" bottom="0.5" header="0.3" footer="0.3"/>
  <pageSetup paperSize="17" scale="67" fitToHeight="0" orientation="landscape" horizontalDpi="1200" verticalDpi="1200" r:id="rId1"/>
  <headerFooter>
    <oddFooter>&amp;L&amp;8&amp;Z&amp;F&amp;R&amp;P of &amp;N</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P112"/>
  <sheetViews>
    <sheetView zoomScaleNormal="100" workbookViewId="0">
      <selection activeCell="B71" sqref="B71"/>
    </sheetView>
  </sheetViews>
  <sheetFormatPr defaultColWidth="19.6640625" defaultRowHeight="14.4"/>
  <cols>
    <col min="1" max="1" width="18.5546875" style="16" bestFit="1" customWidth="1"/>
    <col min="2" max="2" width="19" style="16" bestFit="1" customWidth="1"/>
    <col min="3" max="3" width="19.109375" style="16" bestFit="1" customWidth="1"/>
    <col min="4" max="5" width="9.6640625" style="16" bestFit="1" customWidth="1"/>
    <col min="6" max="6" width="18.44140625" style="16" bestFit="1" customWidth="1"/>
    <col min="7" max="7" width="11.5546875" style="16" bestFit="1" customWidth="1"/>
    <col min="8" max="8" width="32.77734375" style="17" bestFit="1" customWidth="1"/>
    <col min="9" max="9" width="11.77734375" style="16" bestFit="1" customWidth="1"/>
    <col min="10" max="10" width="17.6640625" style="16" bestFit="1" customWidth="1"/>
    <col min="11" max="11" width="8.44140625" style="16" bestFit="1" customWidth="1"/>
    <col min="12" max="12" width="8.88671875" style="16" bestFit="1" customWidth="1"/>
    <col min="13" max="13" width="14.109375" style="16" bestFit="1" customWidth="1"/>
    <col min="14" max="14" width="7.77734375" style="16" bestFit="1" customWidth="1"/>
    <col min="15" max="16" width="10.77734375" style="16" bestFit="1" customWidth="1"/>
    <col min="17" max="17" width="11.77734375" style="16" bestFit="1" customWidth="1"/>
    <col min="18" max="18" width="13.77734375" style="16" bestFit="1" customWidth="1"/>
    <col min="19" max="19" width="11.33203125" style="16" bestFit="1" customWidth="1"/>
    <col min="20" max="20" width="14" style="16" bestFit="1" customWidth="1"/>
    <col min="21" max="21" width="8.33203125" style="16" customWidth="1"/>
    <col min="22" max="22" width="9" style="16" customWidth="1"/>
    <col min="23" max="23" width="10" style="16" customWidth="1"/>
    <col min="24" max="24" width="11" style="16" customWidth="1"/>
    <col min="25" max="25" width="11.5546875" style="16" customWidth="1"/>
    <col min="26" max="26" width="8.33203125" style="16" customWidth="1"/>
    <col min="27" max="27" width="10.109375" style="16" customWidth="1"/>
    <col min="28" max="28" width="10.6640625" style="16" customWidth="1"/>
    <col min="29" max="29" width="12.6640625" style="16" customWidth="1"/>
    <col min="30" max="30" width="16.5546875" style="16" customWidth="1"/>
    <col min="31" max="31" width="11.6640625" style="16" customWidth="1"/>
    <col min="32" max="32" width="15.6640625" style="16" customWidth="1"/>
    <col min="33" max="33" width="13.44140625" style="16" customWidth="1"/>
    <col min="34" max="34" width="15.6640625" style="16" customWidth="1"/>
    <col min="35" max="36" width="9.5546875" style="16" customWidth="1"/>
    <col min="37" max="37" width="11.88671875" style="16" customWidth="1"/>
    <col min="38" max="38" width="64.33203125" style="16" customWidth="1"/>
    <col min="39" max="39" width="14" style="16" customWidth="1"/>
    <col min="40" max="40" width="16.88671875" style="16" customWidth="1"/>
    <col min="41" max="41" width="12.109375" style="16" customWidth="1"/>
    <col min="42" max="42" width="16" style="16" customWidth="1"/>
  </cols>
  <sheetData>
    <row r="1" spans="1:42" ht="18">
      <c r="A1" s="190" t="str">
        <f>+'Federal Funds Transactions'!A1:F1</f>
        <v>Bullhead City MPO</v>
      </c>
      <c r="B1" s="190"/>
      <c r="C1" s="190"/>
      <c r="D1" s="190"/>
      <c r="E1" s="190"/>
      <c r="F1" s="190"/>
    </row>
    <row r="2" spans="1:42">
      <c r="A2" s="18"/>
      <c r="B2" s="18"/>
      <c r="C2" s="18"/>
      <c r="D2" s="18"/>
      <c r="E2" s="18"/>
      <c r="F2" s="18"/>
    </row>
    <row r="3" spans="1:42">
      <c r="A3" s="191" t="s">
        <v>77</v>
      </c>
      <c r="B3" s="191"/>
      <c r="C3" s="191"/>
      <c r="D3" s="191"/>
      <c r="E3" s="191"/>
      <c r="F3" s="191"/>
    </row>
    <row r="4" spans="1:42">
      <c r="A4" s="19"/>
      <c r="B4" s="19"/>
      <c r="C4" s="19"/>
      <c r="D4" s="19"/>
      <c r="E4" s="19"/>
      <c r="F4" s="19"/>
    </row>
    <row r="5" spans="1:42">
      <c r="A5" s="16" t="s">
        <v>76</v>
      </c>
      <c r="B5" s="47">
        <f>+'Federal Funds Transactions'!C6</f>
        <v>46024</v>
      </c>
      <c r="C5" s="18"/>
      <c r="D5" s="18"/>
      <c r="E5" s="18"/>
      <c r="F5" s="18"/>
    </row>
    <row r="6" spans="1:42">
      <c r="A6" s="18"/>
      <c r="B6" s="18"/>
      <c r="C6" s="18"/>
      <c r="D6" s="18"/>
      <c r="E6" s="18"/>
      <c r="F6" s="18"/>
    </row>
    <row r="7" spans="1:42" ht="15" customHeight="1">
      <c r="A7" s="194" t="str">
        <f>+'Federal Funds Transactions'!A9:K9</f>
        <v>IMPORTANT! Please review the information in the Notes tab for further explanation of the data in this document.</v>
      </c>
      <c r="B7" s="194"/>
      <c r="C7" s="194"/>
      <c r="D7" s="194"/>
      <c r="E7" s="194"/>
      <c r="F7" s="194"/>
      <c r="G7" s="194"/>
      <c r="H7" s="194"/>
    </row>
    <row r="9" spans="1:42" ht="15.75" customHeight="1">
      <c r="A9" s="192" t="s">
        <v>74</v>
      </c>
      <c r="B9" s="192"/>
      <c r="C9" s="192"/>
      <c r="D9" s="192"/>
      <c r="E9" s="192"/>
      <c r="F9" s="192"/>
      <c r="G9" s="192"/>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2" ht="15.6">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2"/>
      <c r="AP10" s="22"/>
    </row>
    <row r="11" spans="1:42">
      <c r="A11" s="51" t="s">
        <v>42</v>
      </c>
      <c r="B11" s="52" t="s">
        <v>43</v>
      </c>
      <c r="C11" s="52" t="s">
        <v>13</v>
      </c>
      <c r="D11" s="52" t="s">
        <v>82</v>
      </c>
      <c r="E11" s="52" t="s">
        <v>83</v>
      </c>
      <c r="F11" s="52" t="s">
        <v>44</v>
      </c>
      <c r="G11" s="52" t="s">
        <v>84</v>
      </c>
      <c r="H11" s="52" t="s">
        <v>85</v>
      </c>
      <c r="I11" s="52" t="s">
        <v>10</v>
      </c>
      <c r="J11" s="52" t="s">
        <v>99</v>
      </c>
      <c r="K11" s="52" t="s">
        <v>4</v>
      </c>
      <c r="L11" s="52" t="s">
        <v>95</v>
      </c>
      <c r="M11" s="52" t="s">
        <v>120</v>
      </c>
      <c r="N11" s="52" t="s">
        <v>5</v>
      </c>
      <c r="O11" s="52" t="s">
        <v>91</v>
      </c>
      <c r="P11" s="52" t="s">
        <v>92</v>
      </c>
      <c r="Q11" s="52" t="s">
        <v>117</v>
      </c>
      <c r="R11" s="52" t="s">
        <v>118</v>
      </c>
      <c r="S11" s="52" t="s">
        <v>96</v>
      </c>
      <c r="T11" s="52" t="s">
        <v>119</v>
      </c>
      <c r="U11" s="22"/>
      <c r="V11" s="22"/>
      <c r="W11" s="22"/>
      <c r="X11" s="22"/>
      <c r="Y11" s="22"/>
      <c r="Z11" s="22"/>
      <c r="AA11"/>
      <c r="AB11"/>
      <c r="AC11"/>
      <c r="AD11"/>
      <c r="AE11"/>
      <c r="AF11"/>
      <c r="AG11"/>
      <c r="AH11"/>
      <c r="AI11"/>
      <c r="AJ11"/>
      <c r="AK11"/>
      <c r="AL11"/>
      <c r="AM11"/>
      <c r="AN11"/>
      <c r="AO11"/>
      <c r="AP11"/>
    </row>
    <row r="12" spans="1:42">
      <c r="A12" s="45" t="s">
        <v>127</v>
      </c>
      <c r="B12" s="43" t="s">
        <v>87</v>
      </c>
      <c r="C12" s="43" t="s">
        <v>134</v>
      </c>
      <c r="D12" s="43" t="s">
        <v>135</v>
      </c>
      <c r="E12" s="43" t="s">
        <v>89</v>
      </c>
      <c r="F12" s="43" t="s">
        <v>131</v>
      </c>
      <c r="G12" s="43" t="s">
        <v>137</v>
      </c>
      <c r="H12" s="43" t="s">
        <v>136</v>
      </c>
      <c r="I12" s="43">
        <v>-1</v>
      </c>
      <c r="J12" s="43"/>
      <c r="K12" s="43"/>
      <c r="L12" s="44"/>
      <c r="M12" s="44"/>
      <c r="N12" s="78"/>
      <c r="O12" s="78"/>
      <c r="P12" s="78"/>
      <c r="Q12" s="78"/>
      <c r="R12" s="78"/>
      <c r="S12" s="78"/>
      <c r="T12" s="22">
        <v>-1</v>
      </c>
      <c r="U12" s="78"/>
      <c r="V12" s="78"/>
      <c r="W12" s="49"/>
      <c r="X12" s="49"/>
      <c r="Y12" s="49"/>
      <c r="Z12" s="49"/>
      <c r="AA12"/>
      <c r="AB12"/>
      <c r="AC12"/>
      <c r="AD12"/>
      <c r="AE12"/>
      <c r="AF12"/>
      <c r="AG12"/>
      <c r="AH12"/>
      <c r="AI12"/>
      <c r="AJ12"/>
      <c r="AK12"/>
      <c r="AL12"/>
      <c r="AM12"/>
      <c r="AN12"/>
      <c r="AO12"/>
      <c r="AP12"/>
    </row>
    <row r="13" spans="1:42">
      <c r="A13" s="46" t="s">
        <v>127</v>
      </c>
      <c r="B13" s="44" t="s">
        <v>88</v>
      </c>
      <c r="C13" s="44" t="s">
        <v>134</v>
      </c>
      <c r="D13" s="44" t="s">
        <v>89</v>
      </c>
      <c r="E13" s="44" t="s">
        <v>135</v>
      </c>
      <c r="F13" s="44" t="s">
        <v>131</v>
      </c>
      <c r="G13" s="44" t="s">
        <v>137</v>
      </c>
      <c r="H13" s="44" t="s">
        <v>136</v>
      </c>
      <c r="I13" s="44">
        <v>1</v>
      </c>
      <c r="J13" s="44"/>
      <c r="K13" s="44"/>
      <c r="L13" s="44"/>
      <c r="M13" s="44"/>
      <c r="N13" s="78"/>
      <c r="O13" s="78"/>
      <c r="P13" s="78"/>
      <c r="Q13" s="78"/>
      <c r="R13" s="78"/>
      <c r="S13" s="78"/>
      <c r="T13" s="22">
        <v>1</v>
      </c>
      <c r="U13" s="78"/>
      <c r="V13" s="78"/>
      <c r="W13" s="49"/>
      <c r="X13" s="49"/>
      <c r="Y13" s="49"/>
      <c r="Z13" s="49"/>
      <c r="AA13"/>
      <c r="AB13"/>
      <c r="AC13"/>
      <c r="AD13"/>
      <c r="AE13"/>
      <c r="AF13"/>
      <c r="AG13"/>
      <c r="AH13"/>
      <c r="AI13"/>
      <c r="AJ13"/>
      <c r="AK13"/>
      <c r="AL13"/>
      <c r="AM13"/>
      <c r="AN13"/>
      <c r="AO13"/>
      <c r="AP13"/>
    </row>
    <row r="14" spans="1:42">
      <c r="A14" s="174" t="s">
        <v>131</v>
      </c>
      <c r="B14" s="175" t="s">
        <v>87</v>
      </c>
      <c r="C14" s="175" t="s">
        <v>164</v>
      </c>
      <c r="D14" s="175" t="s">
        <v>135</v>
      </c>
      <c r="E14" s="175" t="s">
        <v>89</v>
      </c>
      <c r="F14" s="175" t="s">
        <v>165</v>
      </c>
      <c r="G14" s="175" t="s">
        <v>160</v>
      </c>
      <c r="H14" s="175" t="s">
        <v>166</v>
      </c>
      <c r="I14" s="175">
        <v>-174481.48</v>
      </c>
      <c r="J14" s="175"/>
      <c r="K14" s="175"/>
      <c r="L14" s="175"/>
      <c r="M14" s="175"/>
      <c r="N14" s="173"/>
      <c r="O14" s="173"/>
      <c r="P14" s="173"/>
      <c r="Q14" s="173"/>
      <c r="R14" s="173"/>
      <c r="S14" s="173"/>
      <c r="T14" s="173">
        <v>-174481.48</v>
      </c>
      <c r="U14" s="78"/>
      <c r="V14" s="78"/>
      <c r="W14" s="49"/>
      <c r="X14" s="49"/>
      <c r="Y14" s="49"/>
      <c r="Z14" s="49"/>
      <c r="AA14"/>
      <c r="AB14"/>
      <c r="AC14"/>
      <c r="AD14"/>
      <c r="AE14"/>
      <c r="AF14"/>
      <c r="AG14"/>
      <c r="AH14"/>
      <c r="AI14"/>
      <c r="AJ14"/>
      <c r="AK14"/>
      <c r="AL14"/>
      <c r="AM14"/>
      <c r="AN14"/>
      <c r="AO14"/>
      <c r="AP14"/>
    </row>
    <row r="15" spans="1:42">
      <c r="A15" s="174" t="s">
        <v>131</v>
      </c>
      <c r="B15" s="175" t="s">
        <v>87</v>
      </c>
      <c r="C15" s="175" t="s">
        <v>167</v>
      </c>
      <c r="D15" s="175" t="s">
        <v>135</v>
      </c>
      <c r="E15" s="175" t="s">
        <v>89</v>
      </c>
      <c r="F15" s="175" t="s">
        <v>165</v>
      </c>
      <c r="G15" s="175" t="s">
        <v>160</v>
      </c>
      <c r="H15" s="175" t="s">
        <v>168</v>
      </c>
      <c r="I15" s="175">
        <v>-52391</v>
      </c>
      <c r="J15" s="175"/>
      <c r="K15" s="175"/>
      <c r="L15" s="175"/>
      <c r="M15" s="175"/>
      <c r="N15" s="173"/>
      <c r="O15" s="173">
        <v>-52391</v>
      </c>
      <c r="P15" s="173"/>
      <c r="Q15" s="173"/>
      <c r="R15" s="173"/>
      <c r="S15" s="173"/>
      <c r="T15" s="173"/>
      <c r="U15" s="78"/>
      <c r="V15" s="78"/>
      <c r="W15" s="49"/>
      <c r="X15" s="49"/>
      <c r="Y15" s="49"/>
      <c r="Z15" s="49"/>
      <c r="AA15"/>
      <c r="AB15"/>
      <c r="AC15"/>
      <c r="AD15"/>
      <c r="AE15"/>
      <c r="AF15"/>
      <c r="AG15"/>
      <c r="AH15"/>
      <c r="AI15"/>
      <c r="AJ15"/>
      <c r="AK15"/>
      <c r="AL15"/>
      <c r="AM15"/>
      <c r="AN15"/>
      <c r="AO15"/>
      <c r="AP15"/>
    </row>
    <row r="16" spans="1:42">
      <c r="A16" s="174" t="s">
        <v>131</v>
      </c>
      <c r="B16" s="175" t="s">
        <v>87</v>
      </c>
      <c r="C16" s="175" t="s">
        <v>167</v>
      </c>
      <c r="D16" s="175" t="s">
        <v>135</v>
      </c>
      <c r="E16" s="175" t="s">
        <v>89</v>
      </c>
      <c r="F16" s="175" t="s">
        <v>165</v>
      </c>
      <c r="G16" s="175" t="s">
        <v>160</v>
      </c>
      <c r="H16" s="175" t="s">
        <v>169</v>
      </c>
      <c r="I16" s="175">
        <v>-278755</v>
      </c>
      <c r="J16" s="175"/>
      <c r="K16" s="175"/>
      <c r="L16" s="175"/>
      <c r="M16" s="175"/>
      <c r="N16" s="173"/>
      <c r="O16" s="173"/>
      <c r="P16" s="173"/>
      <c r="Q16" s="173"/>
      <c r="R16" s="173">
        <v>-278755</v>
      </c>
      <c r="S16" s="173"/>
      <c r="T16" s="173"/>
      <c r="U16" s="78"/>
      <c r="V16" s="78"/>
      <c r="W16" s="49"/>
      <c r="X16" s="49"/>
      <c r="Y16" s="49"/>
      <c r="Z16" s="49"/>
      <c r="AA16"/>
      <c r="AB16"/>
      <c r="AC16"/>
      <c r="AD16"/>
      <c r="AE16"/>
      <c r="AF16"/>
      <c r="AG16"/>
      <c r="AH16"/>
      <c r="AI16"/>
      <c r="AJ16"/>
      <c r="AK16"/>
      <c r="AL16"/>
      <c r="AM16"/>
      <c r="AN16"/>
      <c r="AO16"/>
      <c r="AP16"/>
    </row>
    <row r="17" spans="1:42">
      <c r="A17" s="174" t="s">
        <v>131</v>
      </c>
      <c r="B17" s="175" t="s">
        <v>87</v>
      </c>
      <c r="C17" s="175" t="s">
        <v>167</v>
      </c>
      <c r="D17" s="175" t="s">
        <v>135</v>
      </c>
      <c r="E17" s="175" t="s">
        <v>89</v>
      </c>
      <c r="F17" s="175" t="s">
        <v>165</v>
      </c>
      <c r="G17" s="175" t="s">
        <v>160</v>
      </c>
      <c r="H17" s="175" t="s">
        <v>170</v>
      </c>
      <c r="I17" s="175">
        <v>-14602</v>
      </c>
      <c r="J17" s="175"/>
      <c r="K17" s="175"/>
      <c r="L17" s="175"/>
      <c r="M17" s="175"/>
      <c r="N17" s="173"/>
      <c r="O17" s="173"/>
      <c r="P17" s="173"/>
      <c r="Q17" s="173">
        <v>-14602</v>
      </c>
      <c r="R17" s="173"/>
      <c r="S17" s="173"/>
      <c r="T17" s="173"/>
      <c r="U17" s="78"/>
      <c r="V17" s="78"/>
      <c r="W17" s="49"/>
      <c r="X17" s="49"/>
      <c r="Y17" s="49"/>
      <c r="Z17" s="49"/>
      <c r="AA17"/>
      <c r="AB17"/>
      <c r="AC17"/>
      <c r="AD17"/>
      <c r="AE17"/>
      <c r="AF17"/>
      <c r="AG17"/>
      <c r="AH17"/>
      <c r="AI17"/>
      <c r="AJ17"/>
      <c r="AK17"/>
      <c r="AL17"/>
      <c r="AM17"/>
      <c r="AN17"/>
      <c r="AO17"/>
      <c r="AP17"/>
    </row>
    <row r="18" spans="1:42">
      <c r="A18" s="174" t="s">
        <v>165</v>
      </c>
      <c r="B18" s="175" t="s">
        <v>88</v>
      </c>
      <c r="C18" s="175" t="s">
        <v>164</v>
      </c>
      <c r="D18" s="175" t="s">
        <v>89</v>
      </c>
      <c r="E18" s="175" t="s">
        <v>135</v>
      </c>
      <c r="F18" s="175" t="s">
        <v>165</v>
      </c>
      <c r="G18" s="175" t="s">
        <v>160</v>
      </c>
      <c r="H18" s="175" t="s">
        <v>166</v>
      </c>
      <c r="I18" s="175">
        <v>174481.48</v>
      </c>
      <c r="J18" s="175"/>
      <c r="K18" s="175"/>
      <c r="L18" s="175"/>
      <c r="M18" s="175"/>
      <c r="N18" s="173"/>
      <c r="O18" s="173"/>
      <c r="P18" s="173"/>
      <c r="Q18" s="173"/>
      <c r="R18" s="173"/>
      <c r="S18" s="173"/>
      <c r="T18" s="173">
        <v>174481.48</v>
      </c>
      <c r="U18" s="78"/>
      <c r="V18" s="78"/>
      <c r="W18" s="49"/>
      <c r="X18" s="49"/>
      <c r="Y18" s="49"/>
      <c r="Z18" s="49"/>
      <c r="AA18"/>
      <c r="AB18"/>
      <c r="AC18"/>
      <c r="AD18"/>
      <c r="AE18"/>
      <c r="AF18"/>
      <c r="AG18"/>
      <c r="AH18"/>
      <c r="AI18"/>
      <c r="AJ18"/>
      <c r="AK18"/>
      <c r="AL18"/>
      <c r="AM18"/>
      <c r="AN18"/>
      <c r="AO18"/>
      <c r="AP18"/>
    </row>
    <row r="19" spans="1:42">
      <c r="A19" s="174" t="s">
        <v>165</v>
      </c>
      <c r="B19" s="175" t="s">
        <v>88</v>
      </c>
      <c r="C19" s="175" t="s">
        <v>167</v>
      </c>
      <c r="D19" s="175" t="s">
        <v>89</v>
      </c>
      <c r="E19" s="175" t="s">
        <v>135</v>
      </c>
      <c r="F19" s="175" t="s">
        <v>165</v>
      </c>
      <c r="G19" s="175" t="s">
        <v>160</v>
      </c>
      <c r="H19" s="175" t="s">
        <v>168</v>
      </c>
      <c r="I19" s="175">
        <v>52391</v>
      </c>
      <c r="J19" s="175"/>
      <c r="K19" s="175"/>
      <c r="L19" s="175"/>
      <c r="M19" s="175"/>
      <c r="N19" s="173"/>
      <c r="O19" s="173">
        <v>52391</v>
      </c>
      <c r="P19" s="173"/>
      <c r="Q19" s="173"/>
      <c r="R19" s="173"/>
      <c r="S19" s="173"/>
      <c r="T19" s="173"/>
      <c r="U19" s="78"/>
      <c r="V19" s="78"/>
      <c r="W19" s="49"/>
      <c r="X19" s="49"/>
      <c r="Y19" s="49"/>
      <c r="Z19" s="49"/>
      <c r="AE19"/>
      <c r="AF19"/>
      <c r="AG19"/>
      <c r="AH19"/>
      <c r="AI19"/>
      <c r="AJ19"/>
      <c r="AK19"/>
      <c r="AL19"/>
      <c r="AM19"/>
      <c r="AN19"/>
      <c r="AO19"/>
      <c r="AP19"/>
    </row>
    <row r="20" spans="1:42">
      <c r="A20" s="174" t="s">
        <v>165</v>
      </c>
      <c r="B20" s="175" t="s">
        <v>88</v>
      </c>
      <c r="C20" s="175" t="s">
        <v>167</v>
      </c>
      <c r="D20" s="175" t="s">
        <v>89</v>
      </c>
      <c r="E20" s="175" t="s">
        <v>135</v>
      </c>
      <c r="F20" s="175" t="s">
        <v>165</v>
      </c>
      <c r="G20" s="175" t="s">
        <v>160</v>
      </c>
      <c r="H20" s="175" t="s">
        <v>169</v>
      </c>
      <c r="I20" s="175">
        <v>278755</v>
      </c>
      <c r="J20" s="175"/>
      <c r="K20" s="175"/>
      <c r="L20" s="175"/>
      <c r="M20" s="175"/>
      <c r="N20" s="173"/>
      <c r="O20" s="173"/>
      <c r="P20" s="173"/>
      <c r="Q20" s="173"/>
      <c r="R20" s="173">
        <v>278755</v>
      </c>
      <c r="S20" s="173"/>
      <c r="T20" s="173"/>
      <c r="U20" s="78"/>
      <c r="V20" s="78"/>
      <c r="W20" s="49"/>
      <c r="X20" s="49"/>
      <c r="Y20" s="49"/>
      <c r="Z20" s="49"/>
      <c r="AA20" s="50"/>
      <c r="AB20" s="50"/>
      <c r="AC20" s="50"/>
      <c r="AD20" s="50"/>
      <c r="AE20"/>
      <c r="AF20"/>
      <c r="AG20"/>
      <c r="AH20"/>
      <c r="AI20"/>
      <c r="AJ20"/>
      <c r="AK20"/>
      <c r="AL20"/>
      <c r="AM20"/>
      <c r="AN20"/>
      <c r="AO20"/>
      <c r="AP20"/>
    </row>
    <row r="21" spans="1:42">
      <c r="A21" s="176" t="s">
        <v>165</v>
      </c>
      <c r="B21" s="177" t="s">
        <v>88</v>
      </c>
      <c r="C21" s="177" t="s">
        <v>167</v>
      </c>
      <c r="D21" s="177" t="s">
        <v>89</v>
      </c>
      <c r="E21" s="177" t="s">
        <v>135</v>
      </c>
      <c r="F21" s="177" t="s">
        <v>165</v>
      </c>
      <c r="G21" s="177" t="s">
        <v>160</v>
      </c>
      <c r="H21" s="177" t="s">
        <v>170</v>
      </c>
      <c r="I21" s="177">
        <v>14602</v>
      </c>
      <c r="J21" s="177"/>
      <c r="K21" s="177"/>
      <c r="L21" s="177"/>
      <c r="M21" s="177"/>
      <c r="N21" s="173"/>
      <c r="O21" s="173"/>
      <c r="P21" s="173"/>
      <c r="Q21" s="173">
        <v>14602</v>
      </c>
      <c r="R21" s="173"/>
      <c r="S21" s="173"/>
      <c r="T21" s="173"/>
      <c r="U21" s="78"/>
      <c r="V21" s="78"/>
      <c r="W21" s="49"/>
      <c r="X21" s="49"/>
      <c r="Y21" s="49"/>
      <c r="Z21" s="49"/>
      <c r="AE21"/>
      <c r="AF21"/>
      <c r="AG21"/>
      <c r="AH21"/>
      <c r="AI21"/>
      <c r="AJ21"/>
      <c r="AK21"/>
      <c r="AL21"/>
      <c r="AM21"/>
      <c r="AN21"/>
      <c r="AO21"/>
      <c r="AP21"/>
    </row>
    <row r="22" spans="1:42" hidden="1">
      <c r="A22" s="66"/>
      <c r="B22" s="67"/>
      <c r="C22" s="67"/>
      <c r="D22" s="67"/>
      <c r="E22" s="67"/>
      <c r="F22" s="67"/>
      <c r="G22" s="67"/>
      <c r="H22" s="67"/>
      <c r="I22" s="67"/>
      <c r="J22" s="67"/>
      <c r="K22" s="67"/>
      <c r="L22" s="67"/>
      <c r="M22" s="67"/>
      <c r="N22" s="78"/>
      <c r="O22" s="78"/>
      <c r="P22" s="78"/>
      <c r="Q22" s="78"/>
      <c r="R22" s="78"/>
      <c r="S22" s="78"/>
      <c r="T22" s="22"/>
      <c r="U22" s="78"/>
      <c r="V22" s="78"/>
      <c r="W22" s="49"/>
      <c r="X22" s="49"/>
      <c r="Y22" s="49"/>
      <c r="Z22" s="49"/>
      <c r="AE22"/>
      <c r="AF22"/>
      <c r="AG22"/>
      <c r="AH22"/>
      <c r="AI22"/>
      <c r="AJ22"/>
      <c r="AK22"/>
      <c r="AL22"/>
      <c r="AM22"/>
      <c r="AN22"/>
      <c r="AO22"/>
      <c r="AP22"/>
    </row>
    <row r="23" spans="1:42" hidden="1">
      <c r="A23" s="68"/>
      <c r="B23" s="70"/>
      <c r="C23" s="70"/>
      <c r="D23" s="70"/>
      <c r="E23" s="70"/>
      <c r="F23" s="70"/>
      <c r="G23" s="70"/>
      <c r="H23" s="70"/>
      <c r="I23" s="70"/>
      <c r="J23" s="70"/>
      <c r="K23" s="70"/>
      <c r="L23" s="70"/>
      <c r="M23" s="70"/>
      <c r="N23" s="78"/>
      <c r="O23" s="78"/>
      <c r="P23" s="78"/>
      <c r="Q23" s="78"/>
      <c r="R23" s="78"/>
      <c r="S23" s="78"/>
      <c r="T23" s="22"/>
      <c r="U23" s="78"/>
      <c r="V23" s="78"/>
      <c r="W23" s="49"/>
      <c r="X23" s="49"/>
      <c r="Y23" s="49"/>
      <c r="Z23" s="49"/>
      <c r="AE23"/>
      <c r="AF23"/>
      <c r="AG23"/>
      <c r="AH23"/>
      <c r="AI23"/>
      <c r="AJ23"/>
      <c r="AK23"/>
      <c r="AL23"/>
      <c r="AM23"/>
      <c r="AN23"/>
      <c r="AO23"/>
      <c r="AP23"/>
    </row>
    <row r="24" spans="1:42" hidden="1">
      <c r="A24" s="69"/>
      <c r="B24" s="71"/>
      <c r="C24" s="71"/>
      <c r="D24" s="71"/>
      <c r="E24" s="71"/>
      <c r="F24" s="71"/>
      <c r="G24" s="71"/>
      <c r="H24" s="71"/>
      <c r="I24" s="71"/>
      <c r="J24" s="71"/>
      <c r="K24" s="71"/>
      <c r="L24" s="71"/>
      <c r="M24" s="71"/>
      <c r="N24" s="78"/>
      <c r="O24" s="78"/>
      <c r="P24" s="78"/>
      <c r="Q24" s="78"/>
      <c r="R24" s="78"/>
      <c r="S24" s="78"/>
      <c r="T24" s="22"/>
      <c r="U24" s="78"/>
      <c r="V24" s="78"/>
      <c r="W24" s="49"/>
      <c r="X24" s="49"/>
      <c r="Y24" s="49"/>
      <c r="Z24" s="49"/>
      <c r="AE24"/>
      <c r="AF24"/>
      <c r="AG24"/>
      <c r="AH24"/>
      <c r="AI24"/>
      <c r="AJ24"/>
      <c r="AK24"/>
      <c r="AL24"/>
      <c r="AM24"/>
      <c r="AN24"/>
      <c r="AO24"/>
      <c r="AP24"/>
    </row>
    <row r="25" spans="1:42" hidden="1">
      <c r="H25" s="16"/>
      <c r="N25" s="79"/>
      <c r="O25" s="79"/>
      <c r="P25" s="79"/>
      <c r="Q25" s="79"/>
      <c r="R25" s="79"/>
      <c r="S25" s="79"/>
      <c r="U25" s="79"/>
      <c r="V25" s="79"/>
      <c r="W25" s="49"/>
      <c r="X25" s="49"/>
      <c r="Y25" s="49"/>
      <c r="Z25" s="49"/>
      <c r="AE25"/>
      <c r="AF25"/>
      <c r="AG25"/>
      <c r="AH25"/>
      <c r="AI25"/>
      <c r="AJ25"/>
      <c r="AK25"/>
      <c r="AL25"/>
      <c r="AM25"/>
      <c r="AN25"/>
      <c r="AO25"/>
      <c r="AP25"/>
    </row>
    <row r="26" spans="1:42" hidden="1">
      <c r="H26" s="16"/>
      <c r="N26" s="79"/>
      <c r="O26" s="79"/>
      <c r="P26" s="79"/>
      <c r="Q26" s="79"/>
      <c r="R26" s="79"/>
      <c r="S26" s="79"/>
      <c r="U26" s="79"/>
      <c r="V26" s="79"/>
      <c r="W26" s="49"/>
      <c r="X26" s="49"/>
      <c r="Y26" s="49"/>
      <c r="Z26" s="49"/>
      <c r="AE26"/>
      <c r="AF26"/>
      <c r="AG26"/>
      <c r="AH26"/>
      <c r="AI26"/>
      <c r="AJ26"/>
      <c r="AK26"/>
      <c r="AL26"/>
      <c r="AM26"/>
      <c r="AN26"/>
      <c r="AO26"/>
      <c r="AP26"/>
    </row>
    <row r="27" spans="1:42" hidden="1">
      <c r="H27" s="16"/>
      <c r="N27" s="79"/>
      <c r="O27" s="79"/>
      <c r="P27" s="79"/>
      <c r="Q27" s="79"/>
      <c r="R27" s="79"/>
      <c r="S27" s="79"/>
      <c r="U27" s="79"/>
      <c r="V27" s="79"/>
      <c r="W27" s="49"/>
      <c r="X27" s="49"/>
      <c r="Y27" s="49"/>
      <c r="Z27" s="49"/>
      <c r="AE27"/>
      <c r="AF27"/>
      <c r="AG27"/>
      <c r="AH27"/>
      <c r="AI27"/>
      <c r="AJ27"/>
      <c r="AK27"/>
      <c r="AL27"/>
      <c r="AM27"/>
      <c r="AN27"/>
      <c r="AO27"/>
      <c r="AP27"/>
    </row>
    <row r="28" spans="1:42" hidden="1">
      <c r="H28" s="16"/>
      <c r="N28" s="79"/>
      <c r="O28" s="79"/>
      <c r="P28" s="79"/>
      <c r="Q28" s="79"/>
      <c r="R28" s="79"/>
      <c r="S28" s="79"/>
      <c r="U28" s="79"/>
      <c r="V28" s="79"/>
      <c r="W28" s="49"/>
      <c r="X28" s="49"/>
      <c r="Y28" s="49"/>
      <c r="Z28" s="49"/>
      <c r="AE28"/>
      <c r="AF28"/>
      <c r="AG28"/>
      <c r="AH28"/>
      <c r="AI28"/>
      <c r="AJ28"/>
      <c r="AK28"/>
      <c r="AL28"/>
      <c r="AM28"/>
      <c r="AN28"/>
      <c r="AO28"/>
      <c r="AP28"/>
    </row>
    <row r="29" spans="1:42" hidden="1">
      <c r="H29" s="16"/>
      <c r="N29" s="79"/>
      <c r="O29" s="79"/>
      <c r="P29" s="79"/>
      <c r="Q29" s="79"/>
      <c r="R29" s="79"/>
      <c r="S29" s="79"/>
      <c r="U29" s="79"/>
      <c r="V29" s="79"/>
      <c r="W29" s="49"/>
      <c r="X29" s="49"/>
      <c r="Y29" s="49"/>
      <c r="Z29" s="49"/>
      <c r="AE29"/>
      <c r="AF29"/>
      <c r="AG29"/>
      <c r="AH29"/>
      <c r="AI29"/>
      <c r="AJ29"/>
      <c r="AK29"/>
      <c r="AL29"/>
      <c r="AM29"/>
      <c r="AN29"/>
      <c r="AO29"/>
      <c r="AP29"/>
    </row>
    <row r="30" spans="1:42" hidden="1">
      <c r="H30" s="16"/>
      <c r="N30" s="79"/>
      <c r="O30" s="79"/>
      <c r="P30" s="79"/>
      <c r="Q30" s="79"/>
      <c r="R30" s="79"/>
      <c r="S30" s="79"/>
      <c r="U30" s="79"/>
      <c r="V30" s="79"/>
      <c r="W30" s="49"/>
      <c r="X30" s="49"/>
      <c r="Y30" s="49"/>
      <c r="Z30" s="49"/>
      <c r="AE30"/>
      <c r="AF30"/>
      <c r="AG30"/>
      <c r="AH30"/>
      <c r="AI30"/>
      <c r="AJ30"/>
      <c r="AK30"/>
      <c r="AL30"/>
      <c r="AM30"/>
      <c r="AN30"/>
      <c r="AO30"/>
      <c r="AP30"/>
    </row>
    <row r="31" spans="1:42" hidden="1">
      <c r="H31" s="16"/>
      <c r="N31" s="79"/>
      <c r="O31" s="79"/>
      <c r="P31" s="79"/>
      <c r="Q31" s="79"/>
      <c r="R31" s="79"/>
      <c r="S31" s="79"/>
      <c r="U31" s="79"/>
      <c r="V31" s="79"/>
      <c r="W31" s="49"/>
      <c r="X31" s="49"/>
      <c r="Y31" s="49"/>
      <c r="Z31" s="49"/>
      <c r="AE31"/>
      <c r="AF31"/>
      <c r="AG31"/>
      <c r="AH31"/>
      <c r="AI31"/>
      <c r="AJ31"/>
      <c r="AK31"/>
      <c r="AL31"/>
      <c r="AM31"/>
      <c r="AN31"/>
      <c r="AO31"/>
      <c r="AP31"/>
    </row>
    <row r="32" spans="1:42" hidden="1">
      <c r="H32" s="16"/>
      <c r="N32" s="79"/>
      <c r="O32" s="79"/>
      <c r="P32" s="79"/>
      <c r="Q32" s="79"/>
      <c r="R32" s="79"/>
      <c r="S32" s="79"/>
      <c r="U32" s="79"/>
      <c r="V32" s="79"/>
      <c r="W32" s="49"/>
      <c r="X32" s="49"/>
      <c r="Y32" s="49"/>
      <c r="Z32" s="49"/>
      <c r="AE32"/>
      <c r="AF32"/>
      <c r="AG32"/>
      <c r="AH32"/>
      <c r="AI32"/>
      <c r="AJ32"/>
      <c r="AK32"/>
      <c r="AL32"/>
      <c r="AM32"/>
      <c r="AN32"/>
      <c r="AO32"/>
      <c r="AP32"/>
    </row>
    <row r="33" spans="1:42" hidden="1">
      <c r="H33" s="16"/>
      <c r="N33" s="79"/>
      <c r="O33" s="79"/>
      <c r="P33" s="79"/>
      <c r="Q33" s="79"/>
      <c r="R33" s="79"/>
      <c r="S33" s="79"/>
      <c r="U33" s="79"/>
      <c r="V33" s="79"/>
      <c r="W33" s="49"/>
      <c r="X33" s="49"/>
      <c r="Y33" s="49"/>
      <c r="Z33" s="49"/>
      <c r="AE33"/>
      <c r="AF33"/>
      <c r="AG33"/>
      <c r="AH33"/>
      <c r="AI33"/>
      <c r="AJ33"/>
      <c r="AK33"/>
      <c r="AL33"/>
      <c r="AM33"/>
      <c r="AN33"/>
      <c r="AO33"/>
      <c r="AP33"/>
    </row>
    <row r="34" spans="1:42" hidden="1">
      <c r="H34" s="16"/>
      <c r="N34" s="79"/>
      <c r="O34" s="79"/>
      <c r="P34" s="79"/>
      <c r="Q34" s="79"/>
      <c r="R34" s="79"/>
      <c r="S34" s="79"/>
      <c r="U34" s="79"/>
      <c r="V34" s="79"/>
      <c r="W34" s="49"/>
      <c r="X34" s="49"/>
      <c r="Y34" s="49"/>
      <c r="Z34" s="49"/>
      <c r="AE34"/>
      <c r="AF34"/>
      <c r="AG34"/>
      <c r="AH34"/>
      <c r="AI34"/>
      <c r="AJ34"/>
      <c r="AK34"/>
      <c r="AL34"/>
      <c r="AM34"/>
      <c r="AN34"/>
      <c r="AO34"/>
      <c r="AP34"/>
    </row>
    <row r="35" spans="1:42" hidden="1">
      <c r="H35" s="16"/>
      <c r="N35" s="79"/>
      <c r="O35" s="79"/>
      <c r="P35" s="79"/>
      <c r="Q35" s="79"/>
      <c r="R35" s="79"/>
      <c r="S35" s="79"/>
      <c r="U35" s="79"/>
      <c r="V35" s="79"/>
      <c r="W35" s="49"/>
      <c r="X35" s="49"/>
      <c r="Y35" s="49"/>
      <c r="Z35" s="49"/>
      <c r="AE35"/>
      <c r="AF35"/>
      <c r="AG35"/>
      <c r="AH35"/>
      <c r="AI35"/>
      <c r="AJ35"/>
      <c r="AK35"/>
      <c r="AL35"/>
      <c r="AM35"/>
      <c r="AN35"/>
      <c r="AO35"/>
      <c r="AP35"/>
    </row>
    <row r="36" spans="1:42" hidden="1">
      <c r="H36" s="16"/>
      <c r="N36" s="79"/>
      <c r="O36" s="79"/>
      <c r="P36" s="79"/>
      <c r="Q36" s="79"/>
      <c r="R36" s="79"/>
      <c r="S36" s="79"/>
      <c r="U36" s="79"/>
      <c r="V36" s="79"/>
      <c r="W36" s="49"/>
      <c r="X36" s="49"/>
      <c r="Y36" s="49"/>
      <c r="Z36" s="49"/>
      <c r="AE36"/>
      <c r="AF36"/>
      <c r="AG36"/>
      <c r="AH36"/>
      <c r="AI36"/>
      <c r="AJ36"/>
      <c r="AK36"/>
      <c r="AL36"/>
      <c r="AM36"/>
      <c r="AN36"/>
      <c r="AO36"/>
      <c r="AP36"/>
    </row>
    <row r="37" spans="1:42" hidden="1">
      <c r="H37" s="16"/>
      <c r="N37" s="79"/>
      <c r="O37" s="79"/>
      <c r="P37" s="79"/>
      <c r="Q37" s="79"/>
      <c r="R37" s="79"/>
      <c r="S37" s="79"/>
      <c r="U37" s="79"/>
      <c r="V37" s="79"/>
      <c r="W37" s="49"/>
      <c r="X37" s="49"/>
      <c r="Y37" s="49"/>
      <c r="Z37" s="49"/>
      <c r="AE37"/>
      <c r="AF37"/>
      <c r="AG37"/>
      <c r="AH37"/>
      <c r="AI37"/>
      <c r="AJ37"/>
      <c r="AK37"/>
      <c r="AL37"/>
      <c r="AM37"/>
      <c r="AN37"/>
      <c r="AO37"/>
      <c r="AP37"/>
    </row>
    <row r="38" spans="1:42" hidden="1">
      <c r="H38" s="16"/>
      <c r="N38" s="79"/>
      <c r="O38" s="79"/>
      <c r="P38" s="79"/>
      <c r="Q38" s="79"/>
      <c r="R38" s="79"/>
      <c r="S38" s="79"/>
      <c r="U38" s="79"/>
      <c r="V38" s="79"/>
      <c r="W38" s="49"/>
      <c r="X38" s="49"/>
      <c r="Y38" s="49"/>
      <c r="Z38" s="49"/>
      <c r="AE38"/>
      <c r="AF38"/>
      <c r="AG38"/>
      <c r="AH38"/>
      <c r="AI38"/>
      <c r="AJ38"/>
      <c r="AK38"/>
      <c r="AL38"/>
      <c r="AM38"/>
      <c r="AN38"/>
      <c r="AO38"/>
      <c r="AP38"/>
    </row>
    <row r="39" spans="1:42" hidden="1">
      <c r="H39" s="16"/>
      <c r="N39" s="79"/>
      <c r="O39" s="79"/>
      <c r="P39" s="79"/>
      <c r="Q39" s="79"/>
      <c r="R39" s="79"/>
      <c r="S39" s="79"/>
      <c r="U39" s="79"/>
      <c r="V39" s="79"/>
      <c r="W39" s="49"/>
      <c r="X39" s="49"/>
      <c r="Y39" s="49"/>
      <c r="Z39" s="49"/>
      <c r="AE39"/>
      <c r="AF39"/>
      <c r="AG39"/>
      <c r="AH39"/>
      <c r="AI39"/>
      <c r="AJ39"/>
      <c r="AK39"/>
      <c r="AL39"/>
      <c r="AM39"/>
      <c r="AN39"/>
      <c r="AO39"/>
      <c r="AP39"/>
    </row>
    <row r="40" spans="1:42" hidden="1">
      <c r="H40" s="16"/>
      <c r="AB40" s="71"/>
      <c r="AD40" s="49"/>
      <c r="AE40" s="49"/>
      <c r="AF40" s="49"/>
      <c r="AG40" s="49"/>
      <c r="AL40"/>
      <c r="AM40"/>
      <c r="AN40"/>
      <c r="AO40"/>
      <c r="AP40"/>
    </row>
    <row r="41" spans="1:42" hidden="1">
      <c r="H41" s="16"/>
      <c r="AB41" s="71"/>
      <c r="AD41" s="49"/>
      <c r="AE41" s="49"/>
      <c r="AF41" s="49"/>
      <c r="AG41" s="49"/>
      <c r="AL41"/>
      <c r="AM41"/>
      <c r="AN41"/>
      <c r="AO41"/>
      <c r="AP41"/>
    </row>
    <row r="42" spans="1:42" hidden="1">
      <c r="A42" s="95"/>
      <c r="B42" s="95"/>
      <c r="C42" s="95"/>
      <c r="D42" s="95"/>
      <c r="E42" s="95"/>
      <c r="F42" s="95"/>
      <c r="G42" s="95"/>
      <c r="H42" s="95"/>
      <c r="I42" s="95"/>
      <c r="J42" s="95"/>
      <c r="K42" s="95"/>
      <c r="L42" s="95"/>
      <c r="M42" s="95"/>
      <c r="N42" s="95"/>
      <c r="O42" s="95"/>
      <c r="P42" s="95"/>
      <c r="Q42" s="95"/>
      <c r="R42" s="95"/>
      <c r="S42" s="95"/>
      <c r="T42" s="95"/>
      <c r="AB42" s="71"/>
      <c r="AD42" s="49"/>
      <c r="AE42" s="49"/>
      <c r="AF42" s="49"/>
      <c r="AG42" s="49"/>
      <c r="AL42"/>
      <c r="AM42"/>
      <c r="AN42"/>
      <c r="AO42"/>
      <c r="AP42"/>
    </row>
    <row r="43" spans="1:42" hidden="1">
      <c r="A43" s="95"/>
      <c r="B43" s="95"/>
      <c r="C43" s="95"/>
      <c r="D43" s="95"/>
      <c r="E43" s="95"/>
      <c r="F43" s="95"/>
      <c r="G43" s="95"/>
      <c r="H43" s="95"/>
      <c r="I43" s="95"/>
      <c r="J43" s="95"/>
      <c r="K43" s="95"/>
      <c r="L43" s="95"/>
      <c r="M43" s="95"/>
      <c r="N43" s="95"/>
      <c r="O43" s="95"/>
      <c r="P43" s="95"/>
      <c r="Q43" s="95"/>
      <c r="R43" s="95"/>
      <c r="S43" s="95"/>
      <c r="T43" s="95"/>
      <c r="AB43" s="71"/>
      <c r="AD43" s="49"/>
      <c r="AE43" s="49"/>
      <c r="AF43" s="49"/>
      <c r="AG43" s="49"/>
      <c r="AL43"/>
      <c r="AM43"/>
      <c r="AN43"/>
      <c r="AO43"/>
      <c r="AP43"/>
    </row>
    <row r="44" spans="1:42" hidden="1">
      <c r="A44" s="95"/>
      <c r="B44" s="95"/>
      <c r="C44" s="95"/>
      <c r="D44" s="95"/>
      <c r="E44" s="95"/>
      <c r="F44" s="95"/>
      <c r="G44" s="95"/>
      <c r="H44" s="95"/>
      <c r="I44" s="95"/>
      <c r="J44" s="95"/>
      <c r="K44" s="95"/>
      <c r="L44" s="95"/>
      <c r="M44" s="95"/>
      <c r="N44" s="95"/>
      <c r="O44" s="95"/>
      <c r="P44" s="95"/>
      <c r="Q44" s="95"/>
      <c r="R44" s="95"/>
      <c r="S44" s="95"/>
      <c r="T44" s="95"/>
      <c r="AB44" s="71"/>
      <c r="AD44" s="49"/>
      <c r="AE44" s="49"/>
      <c r="AF44" s="49"/>
      <c r="AG44" s="49"/>
      <c r="AL44"/>
      <c r="AM44"/>
      <c r="AN44"/>
      <c r="AO44"/>
      <c r="AP44"/>
    </row>
    <row r="45" spans="1:42" hidden="1">
      <c r="A45" s="95"/>
      <c r="B45" s="95"/>
      <c r="C45" s="95"/>
      <c r="D45" s="95"/>
      <c r="E45" s="95"/>
      <c r="F45" s="95"/>
      <c r="G45" s="95"/>
      <c r="H45" s="95"/>
      <c r="I45" s="95"/>
      <c r="J45" s="95"/>
      <c r="K45" s="95"/>
      <c r="L45" s="95"/>
      <c r="M45" s="95"/>
      <c r="N45" s="95"/>
      <c r="O45" s="95"/>
      <c r="P45" s="95"/>
      <c r="Q45" s="95"/>
      <c r="R45" s="95"/>
      <c r="S45" s="95"/>
      <c r="T45" s="95"/>
      <c r="AB45" s="71"/>
      <c r="AD45" s="49"/>
      <c r="AE45" s="49"/>
      <c r="AF45" s="49"/>
      <c r="AG45" s="49"/>
      <c r="AL45"/>
      <c r="AM45"/>
      <c r="AN45"/>
      <c r="AO45"/>
      <c r="AP45"/>
    </row>
    <row r="46" spans="1:42" hidden="1">
      <c r="A46" s="95"/>
      <c r="B46" s="95"/>
      <c r="C46" s="95"/>
      <c r="D46" s="95"/>
      <c r="E46" s="95"/>
      <c r="F46" s="95"/>
      <c r="G46" s="95"/>
      <c r="H46" s="95"/>
      <c r="I46" s="95"/>
      <c r="J46" s="95"/>
      <c r="K46" s="95"/>
      <c r="L46" s="95"/>
      <c r="M46" s="95"/>
      <c r="N46" s="95"/>
      <c r="O46" s="95"/>
      <c r="P46" s="95"/>
      <c r="Q46" s="95"/>
      <c r="R46" s="95"/>
      <c r="S46" s="95"/>
      <c r="T46" s="95"/>
      <c r="AB46" s="71"/>
      <c r="AD46" s="49"/>
      <c r="AE46" s="49"/>
      <c r="AF46" s="49"/>
      <c r="AG46" s="49"/>
      <c r="AL46"/>
      <c r="AM46"/>
      <c r="AN46"/>
      <c r="AO46"/>
      <c r="AP46"/>
    </row>
    <row r="47" spans="1:42" hidden="1">
      <c r="A47" s="95"/>
      <c r="B47" s="95"/>
      <c r="C47" s="95"/>
      <c r="D47" s="95"/>
      <c r="E47" s="95"/>
      <c r="F47" s="95"/>
      <c r="G47" s="95"/>
      <c r="H47" s="95"/>
      <c r="I47" s="95"/>
      <c r="J47" s="95"/>
      <c r="K47" s="95"/>
      <c r="L47" s="95"/>
      <c r="M47" s="95"/>
      <c r="N47" s="95"/>
      <c r="O47" s="95"/>
      <c r="P47" s="95"/>
      <c r="Q47" s="95"/>
      <c r="R47" s="95"/>
      <c r="S47" s="95"/>
      <c r="T47" s="95"/>
      <c r="AB47" s="71"/>
      <c r="AD47" s="49"/>
      <c r="AE47" s="49"/>
      <c r="AF47" s="49"/>
      <c r="AG47" s="49"/>
      <c r="AL47"/>
      <c r="AM47"/>
      <c r="AN47"/>
      <c r="AO47"/>
      <c r="AP47"/>
    </row>
    <row r="48" spans="1:42" hidden="1">
      <c r="A48" s="95"/>
      <c r="B48" s="95"/>
      <c r="C48" s="95"/>
      <c r="D48" s="95"/>
      <c r="E48" s="95"/>
      <c r="F48" s="95"/>
      <c r="G48" s="95"/>
      <c r="H48" s="95"/>
      <c r="I48" s="95"/>
      <c r="J48" s="95"/>
      <c r="K48" s="95"/>
      <c r="L48" s="95"/>
      <c r="M48" s="95"/>
      <c r="N48" s="95"/>
      <c r="O48" s="95"/>
      <c r="P48" s="95"/>
      <c r="Q48" s="95"/>
      <c r="R48" s="95"/>
      <c r="S48" s="95"/>
      <c r="T48" s="95"/>
      <c r="AB48" s="71"/>
      <c r="AD48" s="49"/>
      <c r="AE48" s="49"/>
      <c r="AF48" s="49"/>
      <c r="AG48" s="49"/>
      <c r="AL48"/>
      <c r="AM48"/>
      <c r="AN48"/>
      <c r="AO48"/>
      <c r="AP48"/>
    </row>
    <row r="49" spans="1:42" hidden="1">
      <c r="A49" s="95"/>
      <c r="B49" s="95"/>
      <c r="C49" s="95"/>
      <c r="D49" s="95"/>
      <c r="E49" s="95"/>
      <c r="F49" s="95"/>
      <c r="G49" s="95"/>
      <c r="H49" s="95"/>
      <c r="I49" s="95"/>
      <c r="J49" s="95"/>
      <c r="K49" s="95"/>
      <c r="L49" s="95"/>
      <c r="M49" s="95"/>
      <c r="N49" s="95"/>
      <c r="O49" s="95"/>
      <c r="P49" s="95"/>
      <c r="Q49" s="95"/>
      <c r="R49" s="95"/>
      <c r="S49" s="95"/>
      <c r="T49" s="95"/>
      <c r="AB49" s="71"/>
      <c r="AD49" s="49"/>
      <c r="AE49" s="49"/>
      <c r="AF49" s="49"/>
      <c r="AG49" s="49"/>
      <c r="AL49"/>
      <c r="AM49"/>
      <c r="AN49"/>
      <c r="AO49"/>
      <c r="AP49"/>
    </row>
    <row r="50" spans="1:42" hidden="1">
      <c r="A50" s="136"/>
      <c r="B50" s="136"/>
      <c r="C50" s="136"/>
      <c r="D50" s="136"/>
      <c r="E50" s="136"/>
      <c r="F50" s="136"/>
      <c r="G50" s="136"/>
      <c r="H50" s="136"/>
      <c r="I50" s="136"/>
      <c r="J50" s="136"/>
      <c r="K50" s="136"/>
      <c r="L50" s="136"/>
      <c r="M50" s="136"/>
      <c r="N50" s="136"/>
      <c r="O50" s="136"/>
      <c r="P50" s="136"/>
      <c r="Q50" s="136"/>
      <c r="R50" s="136"/>
      <c r="S50" s="136"/>
      <c r="T50" s="136"/>
      <c r="AB50" s="71"/>
      <c r="AD50" s="49"/>
      <c r="AE50" s="49"/>
      <c r="AF50" s="49"/>
      <c r="AG50" s="49"/>
      <c r="AL50"/>
      <c r="AM50"/>
      <c r="AN50"/>
      <c r="AO50"/>
      <c r="AP50"/>
    </row>
    <row r="51" spans="1:42" hidden="1">
      <c r="A51" s="136"/>
      <c r="B51" s="136"/>
      <c r="C51" s="136"/>
      <c r="D51" s="136"/>
      <c r="E51" s="136"/>
      <c r="F51" s="136"/>
      <c r="G51" s="136"/>
      <c r="H51" s="136"/>
      <c r="I51" s="136"/>
      <c r="J51" s="136"/>
      <c r="K51" s="136"/>
      <c r="L51" s="136"/>
      <c r="M51" s="136"/>
      <c r="N51" s="136"/>
      <c r="O51" s="136"/>
      <c r="P51" s="136"/>
      <c r="Q51" s="136"/>
      <c r="R51" s="136"/>
      <c r="S51" s="136"/>
      <c r="T51" s="136"/>
      <c r="AB51" s="71"/>
      <c r="AD51" s="49"/>
      <c r="AE51" s="49"/>
      <c r="AF51" s="49"/>
      <c r="AG51" s="49"/>
      <c r="AL51"/>
      <c r="AM51"/>
      <c r="AN51"/>
      <c r="AO51"/>
      <c r="AP51"/>
    </row>
    <row r="52" spans="1:42" hidden="1">
      <c r="A52" s="136"/>
      <c r="B52" s="136"/>
      <c r="C52" s="136"/>
      <c r="D52" s="136"/>
      <c r="E52" s="136"/>
      <c r="F52" s="136"/>
      <c r="G52" s="136"/>
      <c r="H52" s="136"/>
      <c r="I52" s="136"/>
      <c r="J52" s="136"/>
      <c r="K52" s="136"/>
      <c r="L52" s="136"/>
      <c r="M52" s="136"/>
      <c r="N52" s="136"/>
      <c r="O52" s="136"/>
      <c r="P52" s="136"/>
      <c r="Q52" s="136"/>
      <c r="R52" s="136"/>
      <c r="S52" s="136"/>
      <c r="T52" s="136"/>
      <c r="AB52" s="71"/>
      <c r="AD52" s="49"/>
      <c r="AE52" s="49"/>
      <c r="AF52" s="49"/>
      <c r="AG52" s="49"/>
      <c r="AL52"/>
      <c r="AM52"/>
      <c r="AN52"/>
      <c r="AO52"/>
      <c r="AP52"/>
    </row>
    <row r="53" spans="1:42" hidden="1">
      <c r="A53" s="136"/>
      <c r="B53" s="136"/>
      <c r="C53" s="136"/>
      <c r="D53" s="136"/>
      <c r="E53" s="136"/>
      <c r="F53" s="136"/>
      <c r="G53" s="136"/>
      <c r="H53" s="136"/>
      <c r="I53" s="136"/>
      <c r="J53" s="136"/>
      <c r="K53" s="136"/>
      <c r="L53" s="136"/>
      <c r="M53" s="136"/>
      <c r="N53" s="136"/>
      <c r="O53" s="136"/>
      <c r="P53" s="136"/>
      <c r="Q53" s="136"/>
      <c r="R53" s="136"/>
      <c r="S53" s="136"/>
      <c r="T53" s="136"/>
      <c r="AB53" s="71"/>
      <c r="AD53" s="49"/>
      <c r="AE53" s="49"/>
      <c r="AF53" s="49"/>
      <c r="AG53" s="49"/>
      <c r="AL53"/>
      <c r="AM53"/>
      <c r="AN53"/>
      <c r="AO53"/>
      <c r="AP53"/>
    </row>
    <row r="54" spans="1:42" hidden="1">
      <c r="A54" s="136"/>
      <c r="B54" s="136"/>
      <c r="C54" s="136"/>
      <c r="D54" s="136"/>
      <c r="E54" s="136"/>
      <c r="F54" s="136"/>
      <c r="G54" s="136"/>
      <c r="H54" s="136"/>
      <c r="I54" s="136"/>
      <c r="J54" s="136"/>
      <c r="K54" s="136"/>
      <c r="L54" s="136"/>
      <c r="M54" s="136"/>
      <c r="N54" s="136"/>
      <c r="O54" s="136"/>
      <c r="P54" s="136"/>
      <c r="Q54" s="136"/>
      <c r="R54" s="136"/>
      <c r="S54" s="136"/>
      <c r="T54" s="136"/>
      <c r="AB54" s="71"/>
      <c r="AD54" s="49"/>
      <c r="AE54" s="49"/>
      <c r="AF54" s="49"/>
      <c r="AG54" s="49"/>
      <c r="AL54"/>
      <c r="AM54"/>
      <c r="AN54"/>
      <c r="AO54"/>
      <c r="AP54"/>
    </row>
    <row r="55" spans="1:42" hidden="1">
      <c r="A55" s="136"/>
      <c r="B55" s="136"/>
      <c r="C55" s="136"/>
      <c r="D55" s="136"/>
      <c r="E55" s="136"/>
      <c r="F55" s="136"/>
      <c r="G55" s="136"/>
      <c r="H55" s="136"/>
      <c r="I55" s="136"/>
      <c r="J55" s="136"/>
      <c r="K55" s="136"/>
      <c r="L55" s="136"/>
      <c r="M55" s="136"/>
      <c r="N55" s="136"/>
      <c r="O55" s="136"/>
      <c r="P55" s="136"/>
      <c r="Q55" s="136"/>
      <c r="R55" s="136"/>
      <c r="S55" s="136"/>
      <c r="T55" s="136"/>
      <c r="AB55" s="71"/>
      <c r="AD55" s="49"/>
      <c r="AE55" s="49"/>
      <c r="AF55" s="49"/>
      <c r="AG55" s="49"/>
      <c r="AL55"/>
      <c r="AM55"/>
      <c r="AN55"/>
      <c r="AO55"/>
      <c r="AP55"/>
    </row>
    <row r="56" spans="1:42" hidden="1">
      <c r="A56" s="136"/>
      <c r="B56" s="136"/>
      <c r="C56" s="136"/>
      <c r="D56" s="136"/>
      <c r="E56" s="136"/>
      <c r="F56" s="136"/>
      <c r="G56" s="136"/>
      <c r="H56" s="136"/>
      <c r="I56" s="136"/>
      <c r="J56" s="136"/>
      <c r="K56" s="136"/>
      <c r="L56" s="136"/>
      <c r="M56" s="136"/>
      <c r="N56" s="136"/>
      <c r="O56" s="136"/>
      <c r="P56" s="136"/>
      <c r="Q56" s="136"/>
      <c r="R56" s="136"/>
      <c r="S56" s="136"/>
      <c r="T56" s="136"/>
      <c r="AB56" s="71"/>
      <c r="AD56" s="49"/>
      <c r="AE56" s="49"/>
      <c r="AF56" s="49"/>
      <c r="AG56" s="49"/>
      <c r="AL56"/>
      <c r="AM56"/>
      <c r="AN56"/>
      <c r="AO56"/>
      <c r="AP56"/>
    </row>
    <row r="57" spans="1:42" hidden="1">
      <c r="A57" s="136"/>
      <c r="B57" s="136"/>
      <c r="C57" s="136"/>
      <c r="D57" s="136"/>
      <c r="E57" s="136"/>
      <c r="F57" s="136"/>
      <c r="G57" s="136"/>
      <c r="H57" s="136"/>
      <c r="I57" s="136"/>
      <c r="J57" s="136"/>
      <c r="K57" s="136"/>
      <c r="L57" s="136"/>
      <c r="M57" s="136"/>
      <c r="N57" s="136"/>
      <c r="O57" s="136"/>
      <c r="P57" s="136"/>
      <c r="Q57" s="136"/>
      <c r="R57" s="136"/>
      <c r="S57" s="136"/>
      <c r="T57" s="136"/>
      <c r="AB57" s="71"/>
      <c r="AD57" s="49"/>
      <c r="AE57" s="49"/>
      <c r="AF57" s="49"/>
      <c r="AG57" s="49"/>
      <c r="AL57"/>
      <c r="AM57"/>
      <c r="AN57"/>
      <c r="AO57"/>
      <c r="AP57"/>
    </row>
    <row r="58" spans="1:42" hidden="1">
      <c r="A58" s="155"/>
      <c r="B58" s="155"/>
      <c r="C58" s="155"/>
      <c r="D58" s="155"/>
      <c r="E58" s="155"/>
      <c r="F58" s="155"/>
      <c r="G58" s="155"/>
      <c r="H58" s="155"/>
      <c r="I58" s="155"/>
      <c r="J58" s="155"/>
      <c r="K58" s="155"/>
      <c r="L58" s="155"/>
      <c r="M58" s="155"/>
      <c r="N58" s="155"/>
      <c r="O58" s="155"/>
      <c r="P58" s="155"/>
      <c r="Q58" s="155"/>
      <c r="R58" s="155"/>
      <c r="S58" s="155"/>
      <c r="T58" s="155"/>
      <c r="AB58" s="22"/>
      <c r="AD58" s="49"/>
      <c r="AE58" s="49"/>
      <c r="AF58" s="49"/>
      <c r="AG58" s="49"/>
      <c r="AL58"/>
      <c r="AM58"/>
      <c r="AN58"/>
      <c r="AO58"/>
      <c r="AP58"/>
    </row>
    <row r="59" spans="1:42">
      <c r="A59" s="155"/>
      <c r="B59" s="155"/>
      <c r="C59" s="155"/>
      <c r="D59" s="155"/>
      <c r="E59" s="155"/>
      <c r="F59" s="155"/>
      <c r="G59" s="155"/>
      <c r="H59" s="155"/>
      <c r="I59" s="155"/>
      <c r="J59" s="155"/>
      <c r="K59" s="155"/>
      <c r="L59" s="155"/>
      <c r="M59" s="155"/>
      <c r="N59" s="155"/>
      <c r="O59" s="155"/>
      <c r="P59" s="155"/>
      <c r="Q59" s="155"/>
      <c r="R59" s="155"/>
      <c r="S59" s="155"/>
      <c r="T59" s="155"/>
      <c r="AB59" s="22"/>
      <c r="AD59" s="49"/>
      <c r="AE59" s="49"/>
      <c r="AF59" s="49"/>
      <c r="AG59" s="49"/>
      <c r="AL59"/>
      <c r="AM59"/>
      <c r="AN59"/>
      <c r="AO59"/>
      <c r="AP59"/>
    </row>
    <row r="60" spans="1:42">
      <c r="A60" s="159"/>
      <c r="B60" s="159"/>
      <c r="C60" s="159"/>
      <c r="D60" s="159"/>
      <c r="E60" s="159"/>
      <c r="F60" s="159"/>
      <c r="G60" s="159"/>
      <c r="H60" s="159"/>
      <c r="I60" s="159"/>
      <c r="J60" s="159"/>
      <c r="K60" s="159"/>
      <c r="L60" s="159"/>
      <c r="M60" s="159"/>
      <c r="N60" s="159"/>
      <c r="O60" s="159"/>
      <c r="P60" s="159"/>
      <c r="Q60" s="159"/>
      <c r="R60" s="159"/>
      <c r="S60" s="159"/>
      <c r="T60" s="159"/>
      <c r="AB60" s="22"/>
      <c r="AD60" s="49"/>
      <c r="AE60" s="49"/>
      <c r="AF60" s="49"/>
      <c r="AG60" s="49"/>
      <c r="AL60"/>
      <c r="AM60"/>
      <c r="AN60"/>
      <c r="AO60"/>
      <c r="AP60"/>
    </row>
    <row r="61" spans="1:42">
      <c r="A61" s="159"/>
      <c r="B61" s="159"/>
      <c r="C61" s="159"/>
      <c r="D61" s="159"/>
      <c r="E61" s="159"/>
      <c r="F61" s="159"/>
      <c r="G61" s="159"/>
      <c r="H61" s="159"/>
      <c r="I61" s="159"/>
      <c r="J61" s="159"/>
      <c r="K61" s="159"/>
      <c r="L61" s="159"/>
      <c r="M61" s="159"/>
      <c r="N61" s="159"/>
      <c r="O61" s="159"/>
      <c r="P61" s="159"/>
      <c r="Q61" s="159"/>
      <c r="R61" s="159"/>
      <c r="S61" s="159"/>
      <c r="T61" s="159"/>
      <c r="AB61" s="22"/>
      <c r="AD61" s="49"/>
      <c r="AE61" s="49"/>
      <c r="AF61" s="49"/>
      <c r="AG61" s="49"/>
      <c r="AL61"/>
      <c r="AM61"/>
      <c r="AN61"/>
      <c r="AO61"/>
      <c r="AP61"/>
    </row>
    <row r="62" spans="1:42">
      <c r="A62" s="159"/>
      <c r="B62" s="159"/>
      <c r="C62" s="159"/>
      <c r="D62" s="159"/>
      <c r="E62" s="159"/>
      <c r="F62" s="159"/>
      <c r="G62" s="159"/>
      <c r="H62" s="159"/>
      <c r="I62" s="159"/>
      <c r="J62" s="159"/>
      <c r="K62" s="159"/>
      <c r="L62" s="159"/>
      <c r="M62" s="159"/>
      <c r="N62" s="159"/>
      <c r="O62" s="159"/>
      <c r="P62" s="159"/>
      <c r="Q62" s="159"/>
      <c r="R62" s="159"/>
      <c r="S62" s="159"/>
      <c r="T62" s="159"/>
      <c r="AB62" s="22"/>
      <c r="AD62" s="49"/>
      <c r="AE62" s="49"/>
      <c r="AF62" s="49"/>
      <c r="AG62" s="49"/>
      <c r="AL62"/>
      <c r="AM62"/>
      <c r="AN62"/>
      <c r="AO62"/>
      <c r="AP62"/>
    </row>
    <row r="63" spans="1:42">
      <c r="A63" s="159"/>
      <c r="B63" s="159"/>
      <c r="C63" s="159"/>
      <c r="D63" s="159"/>
      <c r="E63" s="159"/>
      <c r="F63" s="159"/>
      <c r="G63" s="159"/>
      <c r="H63" s="159"/>
      <c r="I63" s="159"/>
      <c r="J63" s="159"/>
      <c r="K63" s="159"/>
      <c r="L63" s="159"/>
      <c r="M63" s="159"/>
      <c r="N63" s="159"/>
      <c r="O63" s="159"/>
      <c r="P63" s="159"/>
      <c r="Q63" s="159"/>
      <c r="R63" s="159"/>
      <c r="S63" s="159"/>
      <c r="T63" s="159"/>
      <c r="AB63" s="22"/>
      <c r="AD63" s="49"/>
      <c r="AE63" s="49"/>
      <c r="AF63" s="49"/>
      <c r="AG63" s="49"/>
      <c r="AL63"/>
      <c r="AM63"/>
      <c r="AN63"/>
      <c r="AO63"/>
      <c r="AP63"/>
    </row>
    <row r="64" spans="1:42" ht="15.6">
      <c r="A64" s="193" t="s">
        <v>75</v>
      </c>
      <c r="B64" s="193"/>
      <c r="C64" s="193"/>
      <c r="D64" s="193"/>
      <c r="E64" s="193"/>
      <c r="F64" s="193"/>
      <c r="G64" s="193"/>
      <c r="AI64" s="49"/>
      <c r="AJ64" s="49"/>
      <c r="AK64" s="49"/>
      <c r="AL64" s="49"/>
    </row>
    <row r="66" spans="1:42">
      <c r="A66" s="49" t="s">
        <v>42</v>
      </c>
      <c r="B66" s="49" t="s">
        <v>43</v>
      </c>
      <c r="C66" s="49" t="s">
        <v>13</v>
      </c>
      <c r="D66" s="49" t="s">
        <v>82</v>
      </c>
      <c r="E66" s="49" t="s">
        <v>83</v>
      </c>
      <c r="F66" s="49" t="s">
        <v>44</v>
      </c>
      <c r="G66" s="49" t="s">
        <v>84</v>
      </c>
      <c r="H66" s="49" t="s">
        <v>85</v>
      </c>
      <c r="I66" s="49" t="s">
        <v>10</v>
      </c>
      <c r="J66" s="49" t="s">
        <v>99</v>
      </c>
      <c r="K66" s="49" t="s">
        <v>4</v>
      </c>
      <c r="L66" s="49" t="s">
        <v>97</v>
      </c>
      <c r="M66" s="49" t="s">
        <v>120</v>
      </c>
      <c r="N66" s="49" t="s">
        <v>5</v>
      </c>
      <c r="O66" s="49" t="s">
        <v>91</v>
      </c>
      <c r="P66" s="49" t="s">
        <v>92</v>
      </c>
      <c r="Q66" s="49" t="s">
        <v>117</v>
      </c>
      <c r="R66" s="49" t="s">
        <v>118</v>
      </c>
      <c r="S66" s="22" t="s">
        <v>119</v>
      </c>
      <c r="T66" s="126" t="s">
        <v>96</v>
      </c>
      <c r="AB66"/>
      <c r="AC66"/>
      <c r="AD66"/>
      <c r="AE66"/>
      <c r="AF66"/>
      <c r="AG66"/>
      <c r="AH66"/>
      <c r="AI66"/>
      <c r="AJ66"/>
      <c r="AK66"/>
      <c r="AL66"/>
      <c r="AM66"/>
      <c r="AN66"/>
      <c r="AO66"/>
      <c r="AP66"/>
    </row>
    <row r="67" spans="1:42">
      <c r="A67" s="22" t="s">
        <v>127</v>
      </c>
      <c r="B67" s="22" t="s">
        <v>87</v>
      </c>
      <c r="C67" s="22" t="s">
        <v>134</v>
      </c>
      <c r="D67" s="22" t="s">
        <v>135</v>
      </c>
      <c r="E67" s="22" t="s">
        <v>89</v>
      </c>
      <c r="F67" s="22" t="s">
        <v>131</v>
      </c>
      <c r="G67" s="22" t="s">
        <v>137</v>
      </c>
      <c r="H67" s="22" t="s">
        <v>136</v>
      </c>
      <c r="I67" s="22">
        <v>-1</v>
      </c>
      <c r="J67" s="22"/>
      <c r="K67" s="22"/>
      <c r="L67" s="49"/>
      <c r="M67" s="49"/>
      <c r="N67" s="78"/>
      <c r="O67" s="78"/>
      <c r="P67" s="78"/>
      <c r="Q67" s="78"/>
      <c r="R67" s="78"/>
      <c r="S67" s="22">
        <v>-1</v>
      </c>
      <c r="T67" s="126"/>
      <c r="AB67"/>
      <c r="AC67"/>
      <c r="AD67"/>
      <c r="AE67"/>
      <c r="AF67"/>
      <c r="AG67"/>
      <c r="AH67"/>
      <c r="AI67"/>
      <c r="AJ67"/>
      <c r="AK67"/>
      <c r="AL67"/>
      <c r="AM67"/>
      <c r="AN67"/>
      <c r="AO67"/>
      <c r="AP67"/>
    </row>
    <row r="68" spans="1:42">
      <c r="A68" s="49" t="s">
        <v>127</v>
      </c>
      <c r="B68" s="49" t="s">
        <v>88</v>
      </c>
      <c r="C68" s="49" t="s">
        <v>134</v>
      </c>
      <c r="D68" s="49" t="s">
        <v>89</v>
      </c>
      <c r="E68" s="49" t="s">
        <v>135</v>
      </c>
      <c r="F68" s="49" t="s">
        <v>131</v>
      </c>
      <c r="G68" s="49" t="s">
        <v>137</v>
      </c>
      <c r="H68" s="49" t="s">
        <v>136</v>
      </c>
      <c r="I68" s="49">
        <v>1</v>
      </c>
      <c r="J68" s="49"/>
      <c r="K68" s="49"/>
      <c r="L68" s="49"/>
      <c r="M68" s="49"/>
      <c r="N68" s="78"/>
      <c r="O68" s="78"/>
      <c r="P68" s="78"/>
      <c r="Q68" s="78"/>
      <c r="R68" s="78"/>
      <c r="S68" s="22">
        <v>1</v>
      </c>
      <c r="T68" s="126"/>
      <c r="AB68"/>
      <c r="AC68"/>
      <c r="AD68"/>
      <c r="AE68"/>
      <c r="AF68"/>
      <c r="AG68"/>
      <c r="AH68"/>
      <c r="AI68"/>
      <c r="AJ68"/>
      <c r="AK68"/>
      <c r="AL68"/>
      <c r="AM68"/>
      <c r="AN68"/>
      <c r="AO68"/>
      <c r="AP68"/>
    </row>
    <row r="69" spans="1:42">
      <c r="A69" s="173" t="s">
        <v>131</v>
      </c>
      <c r="B69" s="173" t="s">
        <v>87</v>
      </c>
      <c r="C69" s="173" t="s">
        <v>164</v>
      </c>
      <c r="D69" s="173" t="s">
        <v>135</v>
      </c>
      <c r="E69" s="173" t="s">
        <v>89</v>
      </c>
      <c r="F69" s="173" t="s">
        <v>165</v>
      </c>
      <c r="G69" s="173" t="s">
        <v>160</v>
      </c>
      <c r="H69" s="173" t="s">
        <v>166</v>
      </c>
      <c r="I69" s="173">
        <v>-174481.48</v>
      </c>
      <c r="J69" s="173"/>
      <c r="K69" s="173"/>
      <c r="L69" s="173"/>
      <c r="M69" s="173"/>
      <c r="N69" s="173"/>
      <c r="O69" s="173"/>
      <c r="P69" s="173"/>
      <c r="Q69" s="173"/>
      <c r="R69" s="173"/>
      <c r="S69" s="173">
        <v>-174481.48</v>
      </c>
      <c r="T69" s="173"/>
      <c r="AB69"/>
      <c r="AC69"/>
      <c r="AD69"/>
      <c r="AE69"/>
      <c r="AF69"/>
      <c r="AG69"/>
      <c r="AH69"/>
      <c r="AI69"/>
      <c r="AJ69"/>
      <c r="AK69"/>
      <c r="AL69"/>
      <c r="AM69"/>
      <c r="AN69"/>
      <c r="AO69"/>
      <c r="AP69"/>
    </row>
    <row r="70" spans="1:42">
      <c r="A70" s="173" t="s">
        <v>131</v>
      </c>
      <c r="B70" s="173" t="s">
        <v>87</v>
      </c>
      <c r="C70" s="173" t="s">
        <v>167</v>
      </c>
      <c r="D70" s="173" t="s">
        <v>135</v>
      </c>
      <c r="E70" s="173" t="s">
        <v>89</v>
      </c>
      <c r="F70" s="173" t="s">
        <v>165</v>
      </c>
      <c r="G70" s="173" t="s">
        <v>160</v>
      </c>
      <c r="H70" s="173" t="s">
        <v>168</v>
      </c>
      <c r="I70" s="173">
        <v>-52391</v>
      </c>
      <c r="J70" s="173"/>
      <c r="K70" s="173"/>
      <c r="L70" s="173"/>
      <c r="M70" s="173"/>
      <c r="N70" s="173"/>
      <c r="O70" s="173">
        <v>-52391</v>
      </c>
      <c r="P70" s="173"/>
      <c r="Q70" s="173"/>
      <c r="R70" s="173"/>
      <c r="S70" s="173"/>
      <c r="T70" s="173"/>
      <c r="U70"/>
      <c r="V70"/>
      <c r="W70"/>
      <c r="X70"/>
      <c r="Y70"/>
      <c r="Z70"/>
      <c r="AA70"/>
      <c r="AB70"/>
      <c r="AC70"/>
      <c r="AD70"/>
      <c r="AE70"/>
      <c r="AF70"/>
      <c r="AG70"/>
      <c r="AH70"/>
      <c r="AI70"/>
      <c r="AJ70"/>
      <c r="AK70"/>
      <c r="AL70"/>
      <c r="AM70"/>
      <c r="AN70"/>
      <c r="AO70"/>
      <c r="AP70"/>
    </row>
    <row r="71" spans="1:42">
      <c r="A71" s="173" t="s">
        <v>131</v>
      </c>
      <c r="B71" s="173" t="s">
        <v>87</v>
      </c>
      <c r="C71" s="173" t="s">
        <v>167</v>
      </c>
      <c r="D71" s="173" t="s">
        <v>135</v>
      </c>
      <c r="E71" s="173" t="s">
        <v>89</v>
      </c>
      <c r="F71" s="173" t="s">
        <v>165</v>
      </c>
      <c r="G71" s="173" t="s">
        <v>160</v>
      </c>
      <c r="H71" s="173" t="s">
        <v>169</v>
      </c>
      <c r="I71" s="173">
        <v>-278755</v>
      </c>
      <c r="J71" s="173"/>
      <c r="K71" s="173"/>
      <c r="L71" s="173"/>
      <c r="M71" s="173"/>
      <c r="N71" s="173"/>
      <c r="O71" s="173"/>
      <c r="P71" s="173"/>
      <c r="Q71" s="173"/>
      <c r="R71" s="173">
        <v>-278755</v>
      </c>
      <c r="S71" s="173"/>
      <c r="T71" s="173"/>
      <c r="U71"/>
      <c r="V71"/>
      <c r="W71"/>
      <c r="X71"/>
      <c r="Y71"/>
      <c r="Z71"/>
      <c r="AA71"/>
      <c r="AB71"/>
      <c r="AC71"/>
      <c r="AD71"/>
      <c r="AE71"/>
      <c r="AF71"/>
      <c r="AG71"/>
      <c r="AH71"/>
      <c r="AI71"/>
      <c r="AJ71"/>
      <c r="AK71"/>
      <c r="AL71"/>
      <c r="AM71"/>
      <c r="AN71"/>
      <c r="AO71"/>
      <c r="AP71"/>
    </row>
    <row r="72" spans="1:42">
      <c r="A72" s="173" t="s">
        <v>131</v>
      </c>
      <c r="B72" s="173" t="s">
        <v>87</v>
      </c>
      <c r="C72" s="173" t="s">
        <v>167</v>
      </c>
      <c r="D72" s="173" t="s">
        <v>135</v>
      </c>
      <c r="E72" s="173" t="s">
        <v>89</v>
      </c>
      <c r="F72" s="173" t="s">
        <v>165</v>
      </c>
      <c r="G72" s="173" t="s">
        <v>160</v>
      </c>
      <c r="H72" s="173" t="s">
        <v>170</v>
      </c>
      <c r="I72" s="173">
        <v>-14602</v>
      </c>
      <c r="J72" s="173"/>
      <c r="K72" s="173"/>
      <c r="L72" s="173"/>
      <c r="M72" s="173"/>
      <c r="N72" s="173"/>
      <c r="O72" s="173"/>
      <c r="P72" s="173"/>
      <c r="Q72" s="173">
        <v>-14602</v>
      </c>
      <c r="R72" s="173"/>
      <c r="S72" s="173"/>
      <c r="T72" s="173"/>
      <c r="U72"/>
      <c r="V72"/>
      <c r="W72"/>
      <c r="X72"/>
      <c r="Y72"/>
      <c r="Z72"/>
      <c r="AA72"/>
      <c r="AB72"/>
      <c r="AC72"/>
      <c r="AD72"/>
      <c r="AE72"/>
      <c r="AF72"/>
      <c r="AG72"/>
      <c r="AH72"/>
      <c r="AI72"/>
      <c r="AJ72"/>
      <c r="AK72"/>
      <c r="AL72"/>
      <c r="AM72"/>
      <c r="AN72"/>
      <c r="AO72"/>
      <c r="AP72"/>
    </row>
    <row r="73" spans="1:42">
      <c r="A73" s="173" t="s">
        <v>165</v>
      </c>
      <c r="B73" s="173" t="s">
        <v>88</v>
      </c>
      <c r="C73" s="173" t="s">
        <v>164</v>
      </c>
      <c r="D73" s="173" t="s">
        <v>89</v>
      </c>
      <c r="E73" s="173" t="s">
        <v>135</v>
      </c>
      <c r="F73" s="173" t="s">
        <v>165</v>
      </c>
      <c r="G73" s="173" t="s">
        <v>160</v>
      </c>
      <c r="H73" s="173" t="s">
        <v>166</v>
      </c>
      <c r="I73" s="173">
        <v>174481.48</v>
      </c>
      <c r="J73" s="173"/>
      <c r="K73" s="173"/>
      <c r="L73" s="173"/>
      <c r="M73" s="173"/>
      <c r="N73" s="173"/>
      <c r="O73" s="173"/>
      <c r="P73" s="173"/>
      <c r="Q73" s="173"/>
      <c r="R73" s="173"/>
      <c r="S73" s="173">
        <v>174481.48</v>
      </c>
      <c r="T73" s="173"/>
      <c r="U73"/>
      <c r="V73"/>
      <c r="W73"/>
      <c r="X73"/>
      <c r="Y73"/>
      <c r="Z73"/>
      <c r="AA73"/>
      <c r="AB73"/>
      <c r="AC73"/>
      <c r="AD73"/>
      <c r="AE73"/>
      <c r="AF73"/>
      <c r="AG73"/>
      <c r="AH73"/>
      <c r="AI73"/>
      <c r="AJ73"/>
      <c r="AK73"/>
      <c r="AL73"/>
      <c r="AM73"/>
      <c r="AN73"/>
      <c r="AO73"/>
      <c r="AP73"/>
    </row>
    <row r="74" spans="1:42">
      <c r="A74" s="173" t="s">
        <v>165</v>
      </c>
      <c r="B74" s="173" t="s">
        <v>88</v>
      </c>
      <c r="C74" s="173" t="s">
        <v>167</v>
      </c>
      <c r="D74" s="173" t="s">
        <v>89</v>
      </c>
      <c r="E74" s="173" t="s">
        <v>135</v>
      </c>
      <c r="F74" s="173" t="s">
        <v>165</v>
      </c>
      <c r="G74" s="173" t="s">
        <v>160</v>
      </c>
      <c r="H74" s="173" t="s">
        <v>168</v>
      </c>
      <c r="I74" s="173">
        <v>52391</v>
      </c>
      <c r="J74" s="173"/>
      <c r="K74" s="173"/>
      <c r="L74" s="173"/>
      <c r="M74" s="173"/>
      <c r="N74" s="173"/>
      <c r="O74" s="173">
        <v>52391</v>
      </c>
      <c r="P74" s="173"/>
      <c r="Q74" s="173"/>
      <c r="R74" s="173"/>
      <c r="S74" s="173"/>
      <c r="T74" s="173"/>
      <c r="U74"/>
      <c r="V74"/>
      <c r="W74"/>
      <c r="X74"/>
      <c r="Y74"/>
      <c r="Z74"/>
      <c r="AA74"/>
      <c r="AB74"/>
      <c r="AC74"/>
      <c r="AD74"/>
      <c r="AE74"/>
      <c r="AF74"/>
      <c r="AG74"/>
      <c r="AH74"/>
      <c r="AI74"/>
      <c r="AJ74"/>
      <c r="AK74"/>
      <c r="AL74"/>
      <c r="AM74"/>
      <c r="AN74"/>
      <c r="AO74"/>
      <c r="AP74"/>
    </row>
    <row r="75" spans="1:42">
      <c r="A75" s="173" t="s">
        <v>165</v>
      </c>
      <c r="B75" s="173" t="s">
        <v>88</v>
      </c>
      <c r="C75" s="173" t="s">
        <v>167</v>
      </c>
      <c r="D75" s="173" t="s">
        <v>89</v>
      </c>
      <c r="E75" s="173" t="s">
        <v>135</v>
      </c>
      <c r="F75" s="173" t="s">
        <v>165</v>
      </c>
      <c r="G75" s="173" t="s">
        <v>160</v>
      </c>
      <c r="H75" s="173" t="s">
        <v>169</v>
      </c>
      <c r="I75" s="173">
        <v>278755</v>
      </c>
      <c r="J75" s="173"/>
      <c r="K75" s="173"/>
      <c r="L75" s="173"/>
      <c r="M75" s="173"/>
      <c r="N75" s="173"/>
      <c r="O75" s="173"/>
      <c r="P75" s="173"/>
      <c r="Q75" s="173"/>
      <c r="R75" s="173">
        <v>278755</v>
      </c>
      <c r="S75" s="173"/>
      <c r="T75" s="173"/>
      <c r="U75"/>
      <c r="V75"/>
      <c r="W75"/>
      <c r="X75"/>
      <c r="Y75"/>
      <c r="Z75"/>
      <c r="AA75"/>
      <c r="AB75"/>
      <c r="AC75"/>
      <c r="AD75"/>
      <c r="AE75"/>
      <c r="AF75"/>
      <c r="AG75"/>
      <c r="AH75"/>
      <c r="AI75"/>
      <c r="AJ75"/>
      <c r="AK75"/>
      <c r="AL75"/>
      <c r="AM75"/>
      <c r="AN75"/>
      <c r="AO75"/>
      <c r="AP75"/>
    </row>
    <row r="76" spans="1:42">
      <c r="A76" s="173" t="s">
        <v>165</v>
      </c>
      <c r="B76" s="173" t="s">
        <v>88</v>
      </c>
      <c r="C76" s="173" t="s">
        <v>167</v>
      </c>
      <c r="D76" s="173" t="s">
        <v>89</v>
      </c>
      <c r="E76" s="173" t="s">
        <v>135</v>
      </c>
      <c r="F76" s="173" t="s">
        <v>165</v>
      </c>
      <c r="G76" s="173" t="s">
        <v>160</v>
      </c>
      <c r="H76" s="173" t="s">
        <v>170</v>
      </c>
      <c r="I76" s="173">
        <v>14602</v>
      </c>
      <c r="J76" s="173"/>
      <c r="K76" s="173"/>
      <c r="L76" s="173"/>
      <c r="M76" s="173"/>
      <c r="N76" s="173"/>
      <c r="O76" s="173"/>
      <c r="P76" s="173"/>
      <c r="Q76" s="173">
        <v>14602</v>
      </c>
      <c r="R76" s="173"/>
      <c r="S76" s="173"/>
      <c r="T76" s="173"/>
      <c r="U76"/>
      <c r="V76"/>
      <c r="W76"/>
      <c r="X76"/>
      <c r="Y76"/>
      <c r="Z76"/>
      <c r="AA76"/>
      <c r="AB76"/>
      <c r="AC76"/>
      <c r="AD76"/>
      <c r="AE76"/>
      <c r="AF76"/>
      <c r="AG76"/>
      <c r="AH76"/>
      <c r="AI76"/>
      <c r="AJ76"/>
      <c r="AK76"/>
      <c r="AL76"/>
      <c r="AM76"/>
      <c r="AN76"/>
      <c r="AO76"/>
      <c r="AP76"/>
    </row>
    <row r="77" spans="1:42">
      <c r="A77" s="65"/>
      <c r="B77" s="65"/>
      <c r="C77" s="65"/>
      <c r="D77" s="65"/>
      <c r="E77" s="65"/>
      <c r="F77" s="65"/>
      <c r="G77" s="65"/>
      <c r="H77" s="65"/>
      <c r="I77" s="65"/>
      <c r="J77" s="65"/>
      <c r="K77" s="65"/>
      <c r="L77" s="65"/>
      <c r="M77" s="65"/>
      <c r="N77" s="79"/>
      <c r="O77" s="79"/>
      <c r="P77" s="79"/>
      <c r="Q77" s="79"/>
      <c r="R77" s="79"/>
      <c r="T77" s="127"/>
      <c r="U77"/>
      <c r="V77"/>
      <c r="W77"/>
      <c r="X77"/>
      <c r="Y77"/>
      <c r="Z77"/>
      <c r="AA77"/>
      <c r="AB77"/>
      <c r="AC77"/>
      <c r="AD77"/>
      <c r="AE77"/>
      <c r="AF77"/>
      <c r="AG77"/>
      <c r="AH77"/>
      <c r="AI77"/>
      <c r="AJ77"/>
      <c r="AK77"/>
      <c r="AL77"/>
      <c r="AM77"/>
      <c r="AN77"/>
      <c r="AO77"/>
      <c r="AP77"/>
    </row>
    <row r="78" spans="1:42">
      <c r="H78" s="16"/>
      <c r="N78" s="79"/>
      <c r="O78" s="79"/>
      <c r="P78" s="79"/>
      <c r="Q78" s="79"/>
      <c r="R78" s="79"/>
      <c r="T78" s="127"/>
      <c r="X78"/>
      <c r="Y78"/>
      <c r="Z78"/>
      <c r="AA78"/>
      <c r="AB78"/>
      <c r="AC78"/>
      <c r="AD78"/>
      <c r="AE78"/>
      <c r="AF78"/>
      <c r="AG78"/>
      <c r="AH78"/>
      <c r="AI78"/>
      <c r="AJ78"/>
      <c r="AK78"/>
      <c r="AL78"/>
      <c r="AM78"/>
      <c r="AN78"/>
      <c r="AO78"/>
      <c r="AP78"/>
    </row>
    <row r="79" spans="1:42">
      <c r="H79" s="16"/>
      <c r="N79" s="79"/>
      <c r="O79" s="79"/>
      <c r="P79" s="79"/>
      <c r="Q79" s="79"/>
      <c r="R79" s="79"/>
      <c r="T79" s="127"/>
      <c r="X79"/>
      <c r="Y79"/>
      <c r="Z79"/>
      <c r="AA79"/>
      <c r="AB79"/>
      <c r="AC79"/>
      <c r="AD79"/>
      <c r="AE79"/>
      <c r="AF79"/>
      <c r="AG79"/>
      <c r="AH79"/>
      <c r="AI79"/>
      <c r="AJ79"/>
      <c r="AK79"/>
      <c r="AL79"/>
      <c r="AM79"/>
      <c r="AN79"/>
      <c r="AO79"/>
      <c r="AP79"/>
    </row>
    <row r="80" spans="1:42">
      <c r="A80" s="72"/>
      <c r="B80" s="72"/>
      <c r="C80" s="72"/>
      <c r="D80" s="72"/>
      <c r="E80" s="72"/>
      <c r="F80" s="72"/>
      <c r="G80" s="72"/>
      <c r="H80" s="72"/>
      <c r="I80" s="72"/>
      <c r="J80" s="72"/>
      <c r="K80" s="72"/>
      <c r="L80" s="72"/>
      <c r="M80" s="72"/>
      <c r="N80" s="79"/>
      <c r="O80" s="79"/>
      <c r="P80" s="79"/>
      <c r="Q80" s="79"/>
      <c r="R80" s="79"/>
      <c r="T80" s="127"/>
      <c r="X80"/>
      <c r="Y80"/>
      <c r="Z80"/>
      <c r="AA80"/>
      <c r="AB80"/>
      <c r="AC80"/>
      <c r="AD80"/>
      <c r="AE80"/>
      <c r="AF80"/>
      <c r="AG80"/>
      <c r="AH80"/>
      <c r="AI80"/>
      <c r="AJ80"/>
      <c r="AK80"/>
      <c r="AL80"/>
      <c r="AM80"/>
      <c r="AN80"/>
      <c r="AO80"/>
      <c r="AP80"/>
    </row>
    <row r="81" spans="1:42">
      <c r="A81" s="72"/>
      <c r="B81" s="72"/>
      <c r="C81" s="72"/>
      <c r="D81" s="72"/>
      <c r="E81" s="72"/>
      <c r="F81" s="72"/>
      <c r="G81" s="72"/>
      <c r="H81" s="72"/>
      <c r="I81" s="72"/>
      <c r="J81" s="72"/>
      <c r="K81" s="72"/>
      <c r="L81" s="72"/>
      <c r="M81" s="72"/>
      <c r="N81" s="79"/>
      <c r="O81" s="79"/>
      <c r="P81" s="79"/>
      <c r="Q81" s="79"/>
      <c r="R81" s="79"/>
      <c r="T81" s="127"/>
      <c r="X81"/>
      <c r="Y81"/>
      <c r="Z81"/>
      <c r="AA81"/>
      <c r="AB81"/>
      <c r="AC81"/>
      <c r="AD81"/>
      <c r="AE81"/>
      <c r="AF81"/>
      <c r="AG81"/>
      <c r="AH81"/>
      <c r="AI81"/>
      <c r="AJ81"/>
      <c r="AK81"/>
      <c r="AL81"/>
      <c r="AM81"/>
      <c r="AN81"/>
      <c r="AO81"/>
      <c r="AP81"/>
    </row>
    <row r="82" spans="1:42">
      <c r="A82" s="72"/>
      <c r="B82" s="72"/>
      <c r="C82" s="72"/>
      <c r="D82" s="72"/>
      <c r="E82" s="72"/>
      <c r="F82" s="72"/>
      <c r="G82" s="72"/>
      <c r="H82" s="72"/>
      <c r="I82" s="72"/>
      <c r="J82" s="72"/>
      <c r="K82" s="72"/>
      <c r="L82" s="72"/>
      <c r="M82" s="72"/>
      <c r="N82" s="79"/>
      <c r="O82" s="79"/>
      <c r="P82" s="79"/>
      <c r="Q82" s="79"/>
      <c r="R82" s="79"/>
      <c r="T82" s="127"/>
      <c r="X82"/>
      <c r="Y82"/>
      <c r="Z82"/>
      <c r="AA82"/>
      <c r="AB82"/>
      <c r="AC82"/>
      <c r="AD82"/>
      <c r="AE82"/>
      <c r="AF82"/>
      <c r="AG82"/>
      <c r="AH82"/>
      <c r="AI82"/>
      <c r="AJ82"/>
      <c r="AK82"/>
      <c r="AL82"/>
      <c r="AM82"/>
      <c r="AN82"/>
      <c r="AO82"/>
      <c r="AP82"/>
    </row>
    <row r="83" spans="1:42">
      <c r="A83" s="72"/>
      <c r="B83" s="72"/>
      <c r="C83" s="72"/>
      <c r="D83" s="72"/>
      <c r="E83" s="72"/>
      <c r="F83" s="72"/>
      <c r="G83" s="72"/>
      <c r="H83" s="72"/>
      <c r="I83" s="72"/>
      <c r="J83" s="72"/>
      <c r="K83" s="72"/>
      <c r="L83" s="72"/>
      <c r="M83" s="72"/>
      <c r="N83" s="79"/>
      <c r="O83" s="79"/>
      <c r="P83" s="79"/>
      <c r="Q83" s="79"/>
      <c r="R83" s="79"/>
      <c r="T83" s="127"/>
      <c r="X83"/>
      <c r="Y83"/>
      <c r="Z83"/>
      <c r="AA83"/>
      <c r="AB83"/>
      <c r="AC83"/>
      <c r="AD83"/>
      <c r="AE83"/>
      <c r="AF83"/>
      <c r="AG83"/>
      <c r="AH83"/>
      <c r="AI83"/>
      <c r="AJ83"/>
      <c r="AK83"/>
      <c r="AL83"/>
      <c r="AM83"/>
      <c r="AN83"/>
      <c r="AO83"/>
      <c r="AP83"/>
    </row>
    <row r="84" spans="1:42">
      <c r="A84" s="72"/>
      <c r="B84" s="72"/>
      <c r="C84" s="72"/>
      <c r="D84" s="72"/>
      <c r="E84" s="72"/>
      <c r="F84" s="72"/>
      <c r="G84" s="72"/>
      <c r="H84" s="72"/>
      <c r="I84" s="72"/>
      <c r="J84" s="72"/>
      <c r="K84" s="72"/>
      <c r="L84" s="72"/>
      <c r="M84" s="72"/>
      <c r="N84" s="79"/>
      <c r="O84" s="79"/>
      <c r="P84" s="79"/>
      <c r="Q84" s="79"/>
      <c r="R84" s="79"/>
      <c r="T84" s="127"/>
      <c r="X84"/>
      <c r="Y84"/>
      <c r="Z84"/>
      <c r="AA84"/>
      <c r="AB84"/>
      <c r="AC84"/>
      <c r="AD84"/>
      <c r="AE84"/>
      <c r="AF84"/>
      <c r="AG84"/>
      <c r="AH84"/>
      <c r="AI84"/>
      <c r="AJ84"/>
      <c r="AK84"/>
      <c r="AL84"/>
      <c r="AM84"/>
      <c r="AN84"/>
      <c r="AO84"/>
      <c r="AP84"/>
    </row>
    <row r="85" spans="1:42">
      <c r="A85" s="72"/>
      <c r="B85" s="72"/>
      <c r="C85" s="72"/>
      <c r="D85" s="72"/>
      <c r="E85" s="72"/>
      <c r="F85" s="72"/>
      <c r="G85" s="72"/>
      <c r="H85" s="72"/>
      <c r="I85" s="72"/>
      <c r="J85" s="72"/>
      <c r="K85" s="72"/>
      <c r="L85" s="72"/>
      <c r="M85" s="72"/>
      <c r="N85" s="79"/>
      <c r="O85" s="79"/>
      <c r="P85" s="79"/>
      <c r="Q85" s="79"/>
      <c r="R85" s="79"/>
      <c r="T85" s="127"/>
      <c r="X85"/>
      <c r="Y85"/>
      <c r="Z85"/>
      <c r="AA85"/>
      <c r="AB85"/>
      <c r="AC85"/>
      <c r="AD85"/>
      <c r="AE85"/>
      <c r="AF85"/>
      <c r="AG85"/>
      <c r="AH85"/>
      <c r="AI85"/>
      <c r="AJ85"/>
      <c r="AK85"/>
      <c r="AL85"/>
      <c r="AM85"/>
      <c r="AN85"/>
      <c r="AO85"/>
      <c r="AP85"/>
    </row>
    <row r="86" spans="1:42">
      <c r="A86" s="72"/>
      <c r="B86" s="72"/>
      <c r="C86" s="72"/>
      <c r="D86" s="72"/>
      <c r="E86" s="72"/>
      <c r="F86" s="72"/>
      <c r="G86" s="72"/>
      <c r="H86" s="72"/>
      <c r="I86" s="72"/>
      <c r="J86" s="72"/>
      <c r="K86" s="72"/>
      <c r="L86" s="72"/>
      <c r="M86" s="72"/>
      <c r="N86" s="79"/>
      <c r="O86" s="79"/>
      <c r="P86" s="79"/>
      <c r="Q86" s="79"/>
      <c r="R86" s="79"/>
      <c r="T86" s="127"/>
      <c r="X86"/>
      <c r="Y86"/>
      <c r="Z86"/>
      <c r="AA86"/>
      <c r="AB86"/>
      <c r="AC86"/>
      <c r="AD86"/>
      <c r="AE86"/>
      <c r="AF86"/>
      <c r="AG86"/>
      <c r="AH86"/>
      <c r="AI86"/>
      <c r="AJ86"/>
      <c r="AK86"/>
      <c r="AL86"/>
      <c r="AM86"/>
      <c r="AN86"/>
      <c r="AO86"/>
      <c r="AP86"/>
    </row>
    <row r="87" spans="1:42">
      <c r="A87" s="72"/>
      <c r="B87" s="72"/>
      <c r="C87" s="72"/>
      <c r="D87" s="72"/>
      <c r="E87" s="72"/>
      <c r="F87" s="72"/>
      <c r="G87" s="72"/>
      <c r="H87" s="72"/>
      <c r="I87" s="72"/>
      <c r="J87" s="72"/>
      <c r="K87" s="72"/>
      <c r="L87" s="72"/>
      <c r="M87" s="72"/>
      <c r="N87" s="79"/>
      <c r="O87" s="79"/>
      <c r="P87" s="79"/>
      <c r="Q87" s="79"/>
      <c r="R87" s="79"/>
      <c r="T87" s="127"/>
      <c r="X87"/>
      <c r="Y87"/>
      <c r="Z87"/>
      <c r="AA87"/>
      <c r="AB87"/>
      <c r="AC87"/>
      <c r="AD87"/>
      <c r="AE87"/>
      <c r="AF87"/>
      <c r="AG87"/>
      <c r="AH87"/>
      <c r="AI87"/>
      <c r="AJ87"/>
      <c r="AK87"/>
      <c r="AL87"/>
      <c r="AM87"/>
      <c r="AN87"/>
      <c r="AO87"/>
      <c r="AP87"/>
    </row>
    <row r="88" spans="1:42">
      <c r="A88" s="72"/>
      <c r="B88" s="72"/>
      <c r="C88" s="72"/>
      <c r="D88" s="72"/>
      <c r="E88" s="72"/>
      <c r="F88" s="72"/>
      <c r="G88" s="72"/>
      <c r="H88" s="72"/>
      <c r="I88" s="72"/>
      <c r="J88" s="72"/>
      <c r="K88" s="72"/>
      <c r="L88" s="72"/>
      <c r="M88" s="72"/>
      <c r="N88" s="79"/>
      <c r="O88" s="79"/>
      <c r="P88" s="79"/>
      <c r="Q88" s="79"/>
      <c r="R88" s="79"/>
      <c r="T88" s="127"/>
      <c r="X88"/>
      <c r="Y88"/>
      <c r="Z88"/>
      <c r="AA88"/>
      <c r="AB88"/>
      <c r="AC88"/>
      <c r="AD88"/>
      <c r="AE88"/>
      <c r="AF88"/>
      <c r="AG88"/>
      <c r="AH88"/>
      <c r="AI88"/>
      <c r="AJ88"/>
      <c r="AK88"/>
      <c r="AL88"/>
      <c r="AM88"/>
      <c r="AN88"/>
      <c r="AO88"/>
      <c r="AP88"/>
    </row>
    <row r="89" spans="1:42">
      <c r="H89" s="16"/>
      <c r="T89" s="127"/>
      <c r="U89" s="72"/>
      <c r="V89" s="72"/>
      <c r="W89" s="72"/>
      <c r="X89" s="72"/>
      <c r="Y89" s="72"/>
      <c r="Z89" s="72"/>
      <c r="AA89" s="72"/>
      <c r="AB89" s="72"/>
      <c r="AC89" s="72"/>
      <c r="AJ89"/>
      <c r="AK89"/>
      <c r="AL89"/>
      <c r="AM89"/>
      <c r="AN89"/>
      <c r="AO89"/>
      <c r="AP89"/>
    </row>
    <row r="90" spans="1:42">
      <c r="H90" s="16"/>
      <c r="T90" s="127"/>
      <c r="U90" s="72"/>
      <c r="V90" s="72"/>
      <c r="W90" s="72"/>
      <c r="X90" s="72"/>
      <c r="Y90" s="72"/>
      <c r="Z90" s="72"/>
      <c r="AA90" s="72"/>
      <c r="AB90" s="72"/>
      <c r="AC90" s="72"/>
      <c r="AN90"/>
      <c r="AO90"/>
      <c r="AP90"/>
    </row>
    <row r="91" spans="1:42">
      <c r="A91" s="95"/>
      <c r="B91" s="95"/>
      <c r="C91" s="95"/>
      <c r="D91" s="95"/>
      <c r="E91" s="95"/>
      <c r="F91" s="95"/>
      <c r="G91" s="95"/>
      <c r="H91" s="95"/>
      <c r="I91" s="95"/>
      <c r="J91" s="95"/>
      <c r="K91" s="95"/>
      <c r="L91" s="95"/>
      <c r="M91" s="95"/>
      <c r="N91" s="95"/>
      <c r="O91" s="95"/>
      <c r="P91" s="95"/>
      <c r="Q91" s="95"/>
      <c r="R91" s="95"/>
      <c r="S91" s="95"/>
      <c r="T91" s="127"/>
      <c r="AN91"/>
      <c r="AO91"/>
      <c r="AP91"/>
    </row>
    <row r="92" spans="1:42">
      <c r="A92" s="95"/>
      <c r="B92" s="95"/>
      <c r="C92" s="95"/>
      <c r="D92" s="95"/>
      <c r="E92" s="95"/>
      <c r="F92" s="95"/>
      <c r="G92" s="95"/>
      <c r="H92" s="95"/>
      <c r="I92" s="95"/>
      <c r="J92" s="95"/>
      <c r="K92" s="95"/>
      <c r="L92" s="95"/>
      <c r="M92" s="95"/>
      <c r="N92" s="95"/>
      <c r="O92" s="95"/>
      <c r="P92" s="95"/>
      <c r="Q92" s="95"/>
      <c r="R92" s="95"/>
      <c r="S92" s="95"/>
      <c r="T92" s="127"/>
      <c r="AN92"/>
      <c r="AO92"/>
      <c r="AP92"/>
    </row>
    <row r="93" spans="1:42">
      <c r="A93" s="95"/>
      <c r="B93" s="95"/>
      <c r="C93" s="95"/>
      <c r="D93" s="95"/>
      <c r="E93" s="95"/>
      <c r="F93" s="95"/>
      <c r="G93" s="95"/>
      <c r="H93" s="95"/>
      <c r="I93" s="95"/>
      <c r="J93" s="95"/>
      <c r="K93" s="95"/>
      <c r="L93" s="95"/>
      <c r="M93" s="95"/>
      <c r="N93" s="95"/>
      <c r="O93" s="95"/>
      <c r="P93" s="95"/>
      <c r="Q93" s="95"/>
      <c r="R93" s="95"/>
      <c r="S93" s="95"/>
      <c r="T93" s="127"/>
      <c r="AN93"/>
      <c r="AO93"/>
      <c r="AP93"/>
    </row>
    <row r="94" spans="1:42">
      <c r="A94" s="95"/>
      <c r="B94" s="95"/>
      <c r="C94" s="95"/>
      <c r="D94" s="95"/>
      <c r="E94" s="95"/>
      <c r="F94" s="95"/>
      <c r="G94" s="95"/>
      <c r="H94" s="95"/>
      <c r="I94" s="95"/>
      <c r="J94" s="95"/>
      <c r="K94" s="95"/>
      <c r="L94" s="95"/>
      <c r="M94" s="95"/>
      <c r="N94" s="95"/>
      <c r="O94" s="95"/>
      <c r="P94" s="95"/>
      <c r="Q94" s="95"/>
      <c r="R94" s="95"/>
      <c r="S94" s="95"/>
      <c r="T94" s="127"/>
      <c r="AN94"/>
      <c r="AO94"/>
      <c r="AP94"/>
    </row>
    <row r="95" spans="1:42">
      <c r="A95" s="95"/>
      <c r="B95" s="95"/>
      <c r="C95" s="95"/>
      <c r="D95" s="95"/>
      <c r="E95" s="95"/>
      <c r="F95" s="95"/>
      <c r="G95" s="95"/>
      <c r="H95" s="95"/>
      <c r="I95" s="95"/>
      <c r="J95" s="95"/>
      <c r="K95" s="95"/>
      <c r="L95" s="95"/>
      <c r="M95" s="95"/>
      <c r="N95" s="95"/>
      <c r="O95" s="95"/>
      <c r="P95" s="95"/>
      <c r="Q95" s="95"/>
      <c r="R95" s="95"/>
      <c r="S95" s="95"/>
      <c r="T95" s="127"/>
      <c r="AN95"/>
      <c r="AO95"/>
      <c r="AP95"/>
    </row>
    <row r="96" spans="1:42">
      <c r="A96" s="95"/>
      <c r="B96" s="95"/>
      <c r="C96" s="95"/>
      <c r="D96" s="95"/>
      <c r="E96" s="95"/>
      <c r="F96" s="95"/>
      <c r="G96" s="95"/>
      <c r="H96" s="95"/>
      <c r="I96" s="95"/>
      <c r="J96" s="95"/>
      <c r="K96" s="95"/>
      <c r="L96" s="95"/>
      <c r="M96" s="95"/>
      <c r="N96" s="95"/>
      <c r="O96" s="95"/>
      <c r="P96" s="95"/>
      <c r="Q96" s="95"/>
      <c r="R96" s="95"/>
      <c r="S96" s="95"/>
      <c r="T96" s="127"/>
      <c r="AN96"/>
      <c r="AO96"/>
      <c r="AP96"/>
    </row>
    <row r="97" spans="1:42">
      <c r="A97" s="95"/>
      <c r="B97" s="95"/>
      <c r="C97" s="95"/>
      <c r="D97" s="95"/>
      <c r="E97" s="95"/>
      <c r="F97" s="95"/>
      <c r="G97" s="95"/>
      <c r="H97" s="95"/>
      <c r="I97" s="95"/>
      <c r="J97" s="95"/>
      <c r="K97" s="95"/>
      <c r="L97" s="95"/>
      <c r="M97" s="95"/>
      <c r="N97" s="95"/>
      <c r="O97" s="95"/>
      <c r="P97" s="95"/>
      <c r="Q97" s="95"/>
      <c r="R97" s="95"/>
      <c r="S97" s="95"/>
      <c r="T97" s="127"/>
      <c r="AN97"/>
      <c r="AO97"/>
      <c r="AP97"/>
    </row>
    <row r="98" spans="1:42">
      <c r="A98" s="95"/>
      <c r="B98" s="95"/>
      <c r="C98" s="95"/>
      <c r="D98" s="95"/>
      <c r="E98" s="95"/>
      <c r="F98" s="95"/>
      <c r="G98" s="95"/>
      <c r="H98" s="95"/>
      <c r="I98" s="95"/>
      <c r="J98" s="95"/>
      <c r="K98" s="95"/>
      <c r="L98" s="95"/>
      <c r="M98" s="95"/>
      <c r="N98" s="95"/>
      <c r="O98" s="95"/>
      <c r="P98" s="95"/>
      <c r="Q98" s="95"/>
      <c r="R98" s="95"/>
      <c r="S98" s="95"/>
      <c r="T98" s="127"/>
      <c r="AN98"/>
      <c r="AO98"/>
      <c r="AP98"/>
    </row>
    <row r="99" spans="1:42">
      <c r="A99" s="136"/>
      <c r="B99" s="136"/>
      <c r="C99" s="136"/>
      <c r="D99" s="136"/>
      <c r="E99" s="136"/>
      <c r="F99" s="136"/>
      <c r="G99" s="136"/>
      <c r="H99" s="136"/>
      <c r="I99" s="136"/>
      <c r="J99" s="136"/>
      <c r="K99" s="136"/>
      <c r="L99" s="136"/>
      <c r="M99" s="136"/>
      <c r="N99" s="136"/>
      <c r="O99" s="136"/>
      <c r="P99" s="136"/>
      <c r="Q99" s="136"/>
      <c r="R99" s="136"/>
      <c r="S99" s="136"/>
      <c r="T99" s="136"/>
    </row>
    <row r="100" spans="1:42">
      <c r="A100" s="136"/>
      <c r="B100" s="136"/>
      <c r="C100" s="136"/>
      <c r="D100" s="136"/>
      <c r="E100" s="136"/>
      <c r="F100" s="136"/>
      <c r="G100" s="136"/>
      <c r="H100" s="136"/>
      <c r="I100" s="136"/>
      <c r="J100" s="136"/>
      <c r="K100" s="136"/>
      <c r="L100" s="136"/>
      <c r="M100" s="136"/>
      <c r="N100" s="136"/>
      <c r="O100" s="136"/>
      <c r="P100" s="136"/>
      <c r="Q100" s="136"/>
      <c r="R100" s="136"/>
      <c r="S100" s="136"/>
      <c r="T100" s="136"/>
    </row>
    <row r="101" spans="1:42">
      <c r="A101" s="136"/>
      <c r="B101" s="136"/>
      <c r="C101" s="136"/>
      <c r="D101" s="136"/>
      <c r="E101" s="136"/>
      <c r="F101" s="136"/>
      <c r="G101" s="136"/>
      <c r="H101" s="136"/>
      <c r="I101" s="136"/>
      <c r="J101" s="136"/>
      <c r="K101" s="136"/>
      <c r="L101" s="136"/>
      <c r="M101" s="136"/>
      <c r="N101" s="136"/>
      <c r="O101" s="136"/>
      <c r="P101" s="136"/>
      <c r="Q101" s="136"/>
      <c r="R101" s="136"/>
      <c r="S101" s="136"/>
      <c r="T101" s="136"/>
    </row>
    <row r="102" spans="1:42">
      <c r="A102" s="136"/>
      <c r="B102" s="136"/>
      <c r="C102" s="136"/>
      <c r="D102" s="136"/>
      <c r="E102" s="136"/>
      <c r="F102" s="136"/>
      <c r="G102" s="136"/>
      <c r="H102" s="136"/>
      <c r="I102" s="136"/>
      <c r="J102" s="136"/>
      <c r="K102" s="136"/>
      <c r="L102" s="136"/>
      <c r="M102" s="136"/>
      <c r="N102" s="136"/>
      <c r="O102" s="136"/>
      <c r="P102" s="136"/>
      <c r="Q102" s="136"/>
      <c r="R102" s="136"/>
      <c r="S102" s="136"/>
      <c r="T102" s="136"/>
    </row>
    <row r="103" spans="1:42">
      <c r="A103" s="136"/>
      <c r="B103" s="136"/>
      <c r="C103" s="136"/>
      <c r="D103" s="136"/>
      <c r="E103" s="136"/>
      <c r="F103" s="136"/>
      <c r="G103" s="136"/>
      <c r="H103" s="136"/>
      <c r="I103" s="136"/>
      <c r="J103" s="136"/>
      <c r="K103" s="136"/>
      <c r="L103" s="136"/>
      <c r="M103" s="136"/>
      <c r="N103" s="136"/>
      <c r="O103" s="136"/>
      <c r="P103" s="136"/>
      <c r="Q103" s="136"/>
      <c r="R103" s="136"/>
      <c r="S103" s="136"/>
      <c r="T103" s="136"/>
    </row>
    <row r="104" spans="1:42">
      <c r="A104" s="136"/>
      <c r="B104" s="136"/>
      <c r="C104" s="136"/>
      <c r="D104" s="136"/>
      <c r="E104" s="136"/>
      <c r="F104" s="136"/>
      <c r="G104" s="136"/>
      <c r="H104" s="136"/>
      <c r="I104" s="136"/>
      <c r="J104" s="136"/>
      <c r="K104" s="136"/>
      <c r="L104" s="136"/>
      <c r="M104" s="136"/>
      <c r="N104" s="136"/>
      <c r="O104" s="136"/>
      <c r="P104" s="136"/>
      <c r="Q104" s="136"/>
      <c r="R104" s="136"/>
      <c r="S104" s="136"/>
      <c r="T104" s="136"/>
    </row>
    <row r="105" spans="1:42">
      <c r="A105" s="136"/>
      <c r="B105" s="136"/>
      <c r="C105" s="136"/>
      <c r="D105" s="136"/>
      <c r="E105" s="136"/>
      <c r="F105" s="136"/>
      <c r="G105" s="136"/>
      <c r="H105" s="136"/>
      <c r="I105" s="136"/>
      <c r="J105" s="136"/>
      <c r="K105" s="136"/>
      <c r="L105" s="136"/>
      <c r="M105" s="136"/>
      <c r="N105" s="136"/>
      <c r="O105" s="136"/>
      <c r="P105" s="136"/>
      <c r="Q105" s="136"/>
      <c r="R105" s="136"/>
      <c r="S105" s="136"/>
      <c r="T105" s="136"/>
    </row>
    <row r="106" spans="1:42">
      <c r="A106" s="136"/>
      <c r="B106" s="136"/>
      <c r="C106" s="136"/>
      <c r="D106" s="136"/>
      <c r="E106" s="136"/>
      <c r="F106" s="136"/>
      <c r="G106" s="136"/>
      <c r="H106" s="136"/>
      <c r="I106" s="136"/>
      <c r="J106" s="136"/>
      <c r="K106" s="136"/>
      <c r="L106" s="136"/>
      <c r="M106" s="136"/>
      <c r="N106" s="136"/>
      <c r="O106" s="136"/>
      <c r="P106" s="136"/>
      <c r="Q106" s="136"/>
      <c r="R106" s="136"/>
      <c r="S106" s="136"/>
      <c r="T106" s="136"/>
    </row>
    <row r="107" spans="1:42">
      <c r="A107" s="155"/>
      <c r="B107" s="155"/>
      <c r="C107" s="155"/>
      <c r="D107" s="155"/>
      <c r="E107" s="155"/>
      <c r="F107" s="155"/>
      <c r="G107" s="155"/>
      <c r="H107" s="155"/>
      <c r="I107" s="155"/>
      <c r="J107" s="155"/>
      <c r="K107" s="155"/>
      <c r="L107" s="155"/>
      <c r="M107" s="155"/>
      <c r="N107" s="155"/>
      <c r="O107" s="155"/>
      <c r="P107" s="155"/>
      <c r="Q107" s="155"/>
      <c r="R107" s="155"/>
      <c r="S107" s="155"/>
      <c r="T107" s="155"/>
    </row>
    <row r="108" spans="1:42">
      <c r="A108" s="155"/>
      <c r="B108" s="155"/>
      <c r="C108" s="155"/>
      <c r="D108" s="155"/>
      <c r="E108" s="155"/>
      <c r="F108" s="155"/>
      <c r="G108" s="155"/>
      <c r="H108" s="155"/>
      <c r="I108" s="155"/>
      <c r="J108" s="155"/>
      <c r="K108" s="155"/>
      <c r="L108" s="155"/>
      <c r="M108" s="155"/>
      <c r="N108" s="155"/>
      <c r="O108" s="155"/>
      <c r="P108" s="155"/>
      <c r="Q108" s="155"/>
      <c r="R108" s="155"/>
      <c r="S108" s="155"/>
      <c r="T108" s="155"/>
    </row>
    <row r="109" spans="1:42">
      <c r="A109" s="159"/>
      <c r="B109" s="159"/>
      <c r="C109" s="159"/>
      <c r="D109" s="159"/>
      <c r="E109" s="159"/>
      <c r="F109" s="159"/>
      <c r="G109" s="159"/>
      <c r="H109" s="159"/>
      <c r="I109" s="159"/>
      <c r="J109" s="159"/>
      <c r="K109" s="159"/>
      <c r="L109" s="159"/>
      <c r="M109" s="159"/>
      <c r="N109" s="159"/>
      <c r="O109" s="159"/>
      <c r="P109" s="159"/>
      <c r="Q109" s="159"/>
      <c r="R109" s="159"/>
      <c r="S109" s="159"/>
      <c r="T109" s="159"/>
    </row>
    <row r="110" spans="1:42">
      <c r="A110" s="159"/>
      <c r="B110" s="159"/>
      <c r="C110" s="159"/>
      <c r="D110" s="159"/>
      <c r="E110" s="159"/>
      <c r="F110" s="159"/>
      <c r="G110" s="159"/>
      <c r="H110" s="159"/>
      <c r="I110" s="159"/>
      <c r="J110" s="159"/>
      <c r="K110" s="159"/>
      <c r="L110" s="159"/>
      <c r="M110" s="159"/>
      <c r="N110" s="159"/>
      <c r="O110" s="159"/>
      <c r="P110" s="159"/>
      <c r="Q110" s="159"/>
      <c r="R110" s="159"/>
      <c r="S110" s="159"/>
      <c r="T110" s="159"/>
    </row>
    <row r="111" spans="1:42">
      <c r="A111" s="159"/>
      <c r="B111" s="159"/>
      <c r="C111" s="159"/>
      <c r="D111" s="159"/>
      <c r="E111" s="159"/>
      <c r="F111" s="159"/>
      <c r="G111" s="159"/>
      <c r="H111" s="159"/>
      <c r="I111" s="159"/>
      <c r="J111" s="159"/>
      <c r="K111" s="159"/>
      <c r="L111" s="159"/>
      <c r="M111" s="159"/>
      <c r="N111" s="159"/>
      <c r="O111" s="159"/>
      <c r="P111" s="159"/>
      <c r="Q111" s="159"/>
      <c r="R111" s="159"/>
      <c r="S111" s="159"/>
      <c r="T111" s="159"/>
    </row>
    <row r="112" spans="1:42">
      <c r="A112" s="159"/>
      <c r="B112" s="159"/>
      <c r="C112" s="159"/>
      <c r="D112" s="159"/>
      <c r="E112" s="159"/>
      <c r="F112" s="159"/>
      <c r="G112" s="159"/>
      <c r="H112" s="159"/>
      <c r="I112" s="159"/>
      <c r="J112" s="159"/>
      <c r="K112" s="159"/>
      <c r="L112" s="159"/>
      <c r="M112" s="159"/>
      <c r="N112" s="159"/>
      <c r="O112" s="159"/>
      <c r="P112" s="159"/>
      <c r="Q112" s="159"/>
      <c r="R112" s="159"/>
      <c r="S112" s="159"/>
      <c r="T112" s="159"/>
    </row>
  </sheetData>
  <mergeCells count="5">
    <mergeCell ref="A1:F1"/>
    <mergeCell ref="A3:F3"/>
    <mergeCell ref="A9:G9"/>
    <mergeCell ref="A64:G64"/>
    <mergeCell ref="A7:H7"/>
  </mergeCells>
  <pageMargins left="0.7" right="0.7" top="0.75" bottom="0.75" header="0.3" footer="0.3"/>
  <pageSetup paperSize="17" scale="72"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4"/>
  <sheetViews>
    <sheetView topLeftCell="A3" zoomScaleNormal="100" workbookViewId="0">
      <selection activeCell="B18" sqref="B18"/>
    </sheetView>
  </sheetViews>
  <sheetFormatPr defaultRowHeight="14.4"/>
  <cols>
    <col min="1" max="1" width="9.109375" style="1"/>
    <col min="2" max="2" width="20.6640625" customWidth="1"/>
    <col min="3" max="3" width="37.44140625" customWidth="1"/>
    <col min="4" max="4" width="15.6640625" customWidth="1"/>
    <col min="5" max="5" width="18.33203125" customWidth="1"/>
  </cols>
  <sheetData>
    <row r="1" spans="1:5">
      <c r="A1" s="4" t="s">
        <v>13</v>
      </c>
      <c r="B1" s="199" t="s">
        <v>14</v>
      </c>
      <c r="C1" s="199"/>
      <c r="D1" s="199"/>
      <c r="E1" s="199"/>
    </row>
    <row r="2" spans="1:5" ht="81.75" customHeight="1">
      <c r="A2" s="1">
        <v>1</v>
      </c>
      <c r="B2" s="198" t="s">
        <v>16</v>
      </c>
      <c r="C2" s="198"/>
      <c r="D2" s="198"/>
      <c r="E2" s="198"/>
    </row>
    <row r="3" spans="1:5">
      <c r="B3" s="3"/>
      <c r="C3" s="3"/>
      <c r="D3" s="3"/>
      <c r="E3" s="3"/>
    </row>
    <row r="4" spans="1:5" ht="33" customHeight="1">
      <c r="A4" s="1">
        <v>2</v>
      </c>
      <c r="B4" s="198" t="s">
        <v>17</v>
      </c>
      <c r="C4" s="198"/>
      <c r="D4" s="198"/>
      <c r="E4" s="198"/>
    </row>
    <row r="5" spans="1:5">
      <c r="B5" s="3"/>
      <c r="C5" s="3"/>
      <c r="D5" s="3"/>
      <c r="E5" s="3"/>
    </row>
    <row r="6" spans="1:5" ht="36" customHeight="1">
      <c r="A6" s="1">
        <v>3</v>
      </c>
      <c r="B6" s="198" t="s">
        <v>115</v>
      </c>
      <c r="C6" s="198"/>
      <c r="D6" s="198"/>
      <c r="E6" s="198"/>
    </row>
    <row r="7" spans="1:5">
      <c r="B7" s="3"/>
      <c r="C7" s="3"/>
      <c r="D7" s="3"/>
      <c r="E7" s="3"/>
    </row>
    <row r="8" spans="1:5" ht="18" customHeight="1">
      <c r="A8" s="1">
        <v>4</v>
      </c>
      <c r="B8" s="201" t="s">
        <v>126</v>
      </c>
      <c r="C8" s="201"/>
      <c r="D8" s="7"/>
      <c r="E8" s="7"/>
    </row>
    <row r="9" spans="1:5" ht="18" customHeight="1">
      <c r="B9" s="200" t="s">
        <v>144</v>
      </c>
      <c r="C9" s="200"/>
      <c r="D9" s="10">
        <v>0</v>
      </c>
    </row>
    <row r="10" spans="1:5" ht="18" customHeight="1">
      <c r="B10" s="198" t="s">
        <v>145</v>
      </c>
      <c r="C10" s="198"/>
      <c r="D10" s="9">
        <v>0</v>
      </c>
      <c r="E10" s="137" t="e">
        <f>D10/$D$9</f>
        <v>#DIV/0!</v>
      </c>
    </row>
    <row r="11" spans="1:5" ht="18" customHeight="1">
      <c r="B11" s="200" t="s">
        <v>146</v>
      </c>
      <c r="C11" s="200"/>
      <c r="D11" s="11">
        <f>D13*0.75</f>
        <v>93750</v>
      </c>
      <c r="E11" s="137" t="e">
        <f>D11/$D$9</f>
        <v>#DIV/0!</v>
      </c>
    </row>
    <row r="12" spans="1:5" ht="31.5" customHeight="1">
      <c r="B12" s="198" t="s">
        <v>147</v>
      </c>
      <c r="C12" s="198"/>
      <c r="D12" s="8">
        <f>D13-D11</f>
        <v>31250</v>
      </c>
      <c r="E12" s="137" t="e">
        <f>D12/$D$9</f>
        <v>#DIV/0!</v>
      </c>
    </row>
    <row r="13" spans="1:5" ht="36.75" customHeight="1">
      <c r="B13" s="200" t="s">
        <v>148</v>
      </c>
      <c r="C13" s="200"/>
      <c r="D13" s="12">
        <v>125000</v>
      </c>
      <c r="E13" s="138"/>
    </row>
    <row r="14" spans="1:5" ht="18" customHeight="1">
      <c r="B14" s="3"/>
      <c r="C14" s="3"/>
      <c r="D14" s="14"/>
    </row>
    <row r="15" spans="1:5" ht="19.5" customHeight="1">
      <c r="A15" s="1">
        <v>5</v>
      </c>
      <c r="B15" s="198" t="s">
        <v>128</v>
      </c>
      <c r="C15" s="198"/>
      <c r="D15" s="198"/>
      <c r="E15" s="198"/>
    </row>
    <row r="16" spans="1:5">
      <c r="B16" s="3"/>
      <c r="C16" s="3"/>
      <c r="D16" s="3"/>
      <c r="E16" s="3"/>
    </row>
    <row r="17" spans="1:5" ht="30" customHeight="1">
      <c r="A17" s="1">
        <v>6</v>
      </c>
      <c r="B17" s="195" t="s">
        <v>183</v>
      </c>
      <c r="C17" s="195"/>
      <c r="D17" s="195"/>
      <c r="E17" s="195"/>
    </row>
    <row r="18" spans="1:5">
      <c r="B18" s="3"/>
      <c r="C18" s="3"/>
      <c r="D18" s="3"/>
      <c r="E18" s="3"/>
    </row>
    <row r="19" spans="1:5" ht="33" customHeight="1">
      <c r="A19" s="1">
        <v>7</v>
      </c>
      <c r="B19" s="198" t="s">
        <v>36</v>
      </c>
      <c r="C19" s="198"/>
      <c r="D19" s="198"/>
      <c r="E19" s="198"/>
    </row>
    <row r="20" spans="1:5" ht="14.25" customHeight="1">
      <c r="B20" s="3"/>
      <c r="C20" s="3"/>
      <c r="D20" s="3"/>
      <c r="E20" s="3"/>
    </row>
    <row r="21" spans="1:5" ht="47.25" customHeight="1">
      <c r="A21" s="1">
        <v>8</v>
      </c>
      <c r="B21" s="198" t="s">
        <v>37</v>
      </c>
      <c r="C21" s="198"/>
      <c r="D21" s="198"/>
      <c r="E21" s="198"/>
    </row>
    <row r="22" spans="1:5" ht="15" customHeight="1">
      <c r="B22" s="3"/>
      <c r="C22" s="3"/>
      <c r="D22" s="3"/>
      <c r="E22" s="3"/>
    </row>
    <row r="23" spans="1:5" ht="32.25" customHeight="1">
      <c r="A23" s="1">
        <v>9</v>
      </c>
      <c r="B23" s="198" t="s">
        <v>35</v>
      </c>
      <c r="C23" s="198"/>
      <c r="D23" s="198"/>
      <c r="E23" s="198"/>
    </row>
    <row r="24" spans="1:5" ht="15" customHeight="1">
      <c r="B24" s="3"/>
      <c r="C24" s="3"/>
      <c r="D24" s="3"/>
      <c r="E24" s="3"/>
    </row>
    <row r="25" spans="1:5" ht="33" customHeight="1">
      <c r="A25" s="1">
        <v>10</v>
      </c>
      <c r="B25" s="198" t="s">
        <v>38</v>
      </c>
      <c r="C25" s="198"/>
      <c r="D25" s="198"/>
      <c r="E25" s="198"/>
    </row>
    <row r="26" spans="1:5">
      <c r="B26" s="3"/>
      <c r="C26" s="3"/>
      <c r="D26" s="3"/>
      <c r="E26" s="3"/>
    </row>
    <row r="27" spans="1:5" ht="30" customHeight="1">
      <c r="A27" s="1">
        <v>11</v>
      </c>
      <c r="B27" s="198" t="s">
        <v>39</v>
      </c>
      <c r="C27" s="198"/>
      <c r="D27" s="198"/>
      <c r="E27" s="198"/>
    </row>
    <row r="28" spans="1:5">
      <c r="B28" s="3"/>
      <c r="C28" s="3"/>
      <c r="D28" s="3"/>
      <c r="E28" s="3"/>
    </row>
    <row r="29" spans="1:5" ht="31.5" customHeight="1">
      <c r="A29" s="1">
        <v>12</v>
      </c>
      <c r="B29" s="198" t="s">
        <v>40</v>
      </c>
      <c r="C29" s="198"/>
      <c r="D29" s="198"/>
      <c r="E29" s="198"/>
    </row>
    <row r="30" spans="1:5">
      <c r="B30" s="3"/>
      <c r="C30" s="3"/>
      <c r="D30" s="3"/>
      <c r="E30" s="3"/>
    </row>
    <row r="31" spans="1:5" ht="34.5" customHeight="1">
      <c r="A31" s="1">
        <v>13</v>
      </c>
      <c r="B31" s="198" t="s">
        <v>18</v>
      </c>
      <c r="C31" s="198"/>
      <c r="D31" s="198"/>
      <c r="E31" s="198"/>
    </row>
    <row r="32" spans="1:5" ht="16.5" customHeight="1">
      <c r="B32" s="3"/>
      <c r="C32" s="3"/>
      <c r="D32" s="3"/>
      <c r="E32" s="3"/>
    </row>
    <row r="33" spans="1:5" ht="64.5" customHeight="1">
      <c r="A33" s="1">
        <v>14</v>
      </c>
      <c r="B33" s="198" t="s">
        <v>19</v>
      </c>
      <c r="C33" s="198"/>
      <c r="D33" s="198"/>
      <c r="E33" s="198"/>
    </row>
    <row r="34" spans="1:5" ht="14.25" customHeight="1">
      <c r="B34" s="3"/>
      <c r="C34" s="3"/>
      <c r="D34" s="3"/>
      <c r="E34" s="3"/>
    </row>
    <row r="35" spans="1:5">
      <c r="A35" s="1">
        <v>15</v>
      </c>
      <c r="B35" s="203" t="s">
        <v>33</v>
      </c>
      <c r="C35" s="203"/>
      <c r="D35" s="203"/>
      <c r="E35" s="203"/>
    </row>
    <row r="36" spans="1:5">
      <c r="B36" s="13" t="s">
        <v>7</v>
      </c>
      <c r="C36" s="196" t="s">
        <v>20</v>
      </c>
      <c r="D36" s="196"/>
      <c r="E36" s="196"/>
    </row>
    <row r="37" spans="1:5">
      <c r="B37" s="5" t="s">
        <v>21</v>
      </c>
      <c r="C37" s="197" t="s">
        <v>28</v>
      </c>
      <c r="D37" s="197"/>
      <c r="E37" s="197"/>
    </row>
    <row r="38" spans="1:5">
      <c r="B38" s="13" t="s">
        <v>22</v>
      </c>
      <c r="C38" s="196" t="s">
        <v>29</v>
      </c>
      <c r="D38" s="196"/>
      <c r="E38" s="196"/>
    </row>
    <row r="39" spans="1:5">
      <c r="B39" s="5" t="s">
        <v>23</v>
      </c>
      <c r="C39" s="197" t="s">
        <v>32</v>
      </c>
      <c r="D39" s="197"/>
      <c r="E39" s="197"/>
    </row>
    <row r="40" spans="1:5">
      <c r="B40" s="13" t="s">
        <v>9</v>
      </c>
      <c r="C40" s="196" t="s">
        <v>30</v>
      </c>
      <c r="D40" s="196"/>
      <c r="E40" s="196"/>
    </row>
    <row r="41" spans="1:5">
      <c r="B41" s="5" t="s">
        <v>8</v>
      </c>
      <c r="C41" s="197" t="s">
        <v>24</v>
      </c>
      <c r="D41" s="197"/>
      <c r="E41" s="197"/>
    </row>
    <row r="42" spans="1:5">
      <c r="B42" s="13" t="s">
        <v>25</v>
      </c>
      <c r="C42" s="196" t="s">
        <v>26</v>
      </c>
      <c r="D42" s="196"/>
      <c r="E42" s="196"/>
    </row>
    <row r="43" spans="1:5">
      <c r="B43" s="5" t="s">
        <v>27</v>
      </c>
      <c r="C43" s="197" t="s">
        <v>31</v>
      </c>
      <c r="D43" s="197"/>
      <c r="E43" s="197"/>
    </row>
    <row r="44" spans="1:5">
      <c r="B44" s="5"/>
      <c r="C44" s="6"/>
      <c r="D44" s="6"/>
      <c r="E44" s="6"/>
    </row>
    <row r="45" spans="1:5">
      <c r="A45" s="1">
        <v>16</v>
      </c>
      <c r="B45" s="15" t="s">
        <v>59</v>
      </c>
      <c r="C45" s="6"/>
      <c r="D45" s="6"/>
      <c r="E45" s="6"/>
    </row>
    <row r="46" spans="1:5" ht="30" customHeight="1">
      <c r="B46" s="13" t="s">
        <v>48</v>
      </c>
      <c r="C46" s="196" t="s">
        <v>61</v>
      </c>
      <c r="D46" s="196"/>
      <c r="E46" s="196"/>
    </row>
    <row r="47" spans="1:5">
      <c r="B47" s="5" t="s">
        <v>49</v>
      </c>
      <c r="C47" s="197" t="s">
        <v>60</v>
      </c>
      <c r="D47" s="197"/>
      <c r="E47" s="197"/>
    </row>
    <row r="48" spans="1:5" ht="48.75" customHeight="1">
      <c r="B48" s="13" t="s">
        <v>50</v>
      </c>
      <c r="C48" s="196" t="s">
        <v>63</v>
      </c>
      <c r="D48" s="196"/>
      <c r="E48" s="196"/>
    </row>
    <row r="49" spans="1:5" ht="29.25" customHeight="1">
      <c r="B49" s="5" t="s">
        <v>51</v>
      </c>
      <c r="C49" s="197" t="s">
        <v>62</v>
      </c>
      <c r="D49" s="197"/>
      <c r="E49" s="197"/>
    </row>
    <row r="50" spans="1:5">
      <c r="B50" s="5"/>
      <c r="C50" s="6"/>
      <c r="D50" s="6"/>
      <c r="E50" s="6"/>
    </row>
    <row r="51" spans="1:5" ht="95.25" customHeight="1">
      <c r="A51" s="1">
        <v>17</v>
      </c>
      <c r="B51" s="204" t="s">
        <v>178</v>
      </c>
      <c r="C51" s="204"/>
      <c r="D51" s="204"/>
      <c r="E51" s="204"/>
    </row>
    <row r="52" spans="1:5">
      <c r="B52" s="2"/>
    </row>
    <row r="53" spans="1:5">
      <c r="A53" s="202" t="s">
        <v>129</v>
      </c>
      <c r="B53" s="202"/>
      <c r="C53" s="202"/>
      <c r="D53" s="202"/>
      <c r="E53" s="202"/>
    </row>
    <row r="54" spans="1:5">
      <c r="A54" s="157" t="s">
        <v>130</v>
      </c>
    </row>
  </sheetData>
  <mergeCells count="35">
    <mergeCell ref="A53:E53"/>
    <mergeCell ref="B19:E19"/>
    <mergeCell ref="B35:E35"/>
    <mergeCell ref="C36:E36"/>
    <mergeCell ref="C37:E37"/>
    <mergeCell ref="C38:E38"/>
    <mergeCell ref="C39:E39"/>
    <mergeCell ref="C40:E40"/>
    <mergeCell ref="C41:E41"/>
    <mergeCell ref="C42:E42"/>
    <mergeCell ref="C43:E43"/>
    <mergeCell ref="B21:E21"/>
    <mergeCell ref="B23:E23"/>
    <mergeCell ref="B51:E51"/>
    <mergeCell ref="B1:E1"/>
    <mergeCell ref="B2:E2"/>
    <mergeCell ref="B4:E4"/>
    <mergeCell ref="B15:E15"/>
    <mergeCell ref="B10:C10"/>
    <mergeCell ref="B11:C11"/>
    <mergeCell ref="B13:C13"/>
    <mergeCell ref="B12:C12"/>
    <mergeCell ref="B8:C8"/>
    <mergeCell ref="B9:C9"/>
    <mergeCell ref="B6:E6"/>
    <mergeCell ref="B17:E17"/>
    <mergeCell ref="C46:E46"/>
    <mergeCell ref="C47:E47"/>
    <mergeCell ref="C49:E49"/>
    <mergeCell ref="C48:E48"/>
    <mergeCell ref="B29:E29"/>
    <mergeCell ref="B31:E31"/>
    <mergeCell ref="B33:E33"/>
    <mergeCell ref="B25:E25"/>
    <mergeCell ref="B27:E27"/>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8"/>
  <sheetViews>
    <sheetView topLeftCell="A10" workbookViewId="0">
      <selection activeCell="E14" sqref="E14"/>
    </sheetView>
  </sheetViews>
  <sheetFormatPr defaultRowHeight="14.4"/>
  <cols>
    <col min="2" max="2" width="41.44140625" customWidth="1"/>
    <col min="6" max="6" width="7.44140625" customWidth="1"/>
    <col min="7" max="7" width="9.109375"/>
    <col min="8" max="8" width="41.44140625" customWidth="1"/>
    <col min="9" max="11" width="9.109375"/>
    <col min="12" max="12" width="7.44140625" customWidth="1"/>
    <col min="13" max="13" width="8.6640625" customWidth="1"/>
    <col min="14" max="14" width="19" customWidth="1"/>
    <col min="15" max="18" width="8.6640625" customWidth="1"/>
    <col min="19" max="19" width="0" hidden="1" customWidth="1"/>
    <col min="21" max="21" width="42.109375" customWidth="1"/>
  </cols>
  <sheetData>
    <row r="1" spans="1:24" ht="15" thickBot="1">
      <c r="A1" s="205" t="s">
        <v>101</v>
      </c>
      <c r="B1" s="206"/>
      <c r="C1" s="207" t="s">
        <v>163</v>
      </c>
      <c r="D1" s="208"/>
      <c r="E1" s="209"/>
      <c r="G1" s="205" t="s">
        <v>101</v>
      </c>
      <c r="H1" s="206"/>
      <c r="I1" s="207" t="s">
        <v>156</v>
      </c>
      <c r="J1" s="208"/>
      <c r="K1" s="209"/>
      <c r="M1" s="205" t="s">
        <v>101</v>
      </c>
      <c r="N1" s="206"/>
      <c r="O1" s="207" t="s">
        <v>138</v>
      </c>
      <c r="P1" s="208"/>
      <c r="Q1" s="209"/>
      <c r="T1" s="205" t="s">
        <v>101</v>
      </c>
      <c r="U1" s="206"/>
      <c r="V1" s="207" t="s">
        <v>139</v>
      </c>
      <c r="W1" s="208"/>
      <c r="X1" s="209"/>
    </row>
    <row r="2" spans="1:24">
      <c r="A2" s="96" t="s">
        <v>102</v>
      </c>
      <c r="B2" s="160" t="s">
        <v>103</v>
      </c>
      <c r="C2" s="162" t="s">
        <v>111</v>
      </c>
      <c r="D2" s="163" t="s">
        <v>112</v>
      </c>
      <c r="E2" s="164" t="s">
        <v>10</v>
      </c>
      <c r="G2" s="96" t="s">
        <v>102</v>
      </c>
      <c r="H2" s="160" t="s">
        <v>103</v>
      </c>
      <c r="I2" s="162" t="s">
        <v>111</v>
      </c>
      <c r="J2" s="163" t="s">
        <v>112</v>
      </c>
      <c r="K2" s="164" t="s">
        <v>10</v>
      </c>
      <c r="M2" s="96" t="s">
        <v>102</v>
      </c>
      <c r="N2" s="160" t="s">
        <v>103</v>
      </c>
      <c r="O2" s="162" t="s">
        <v>111</v>
      </c>
      <c r="P2" s="163" t="s">
        <v>112</v>
      </c>
      <c r="Q2" s="164" t="s">
        <v>10</v>
      </c>
      <c r="T2" s="96" t="s">
        <v>102</v>
      </c>
      <c r="U2" s="160" t="s">
        <v>103</v>
      </c>
      <c r="V2" s="162" t="s">
        <v>111</v>
      </c>
      <c r="W2" s="163" t="s">
        <v>112</v>
      </c>
      <c r="X2" s="164" t="s">
        <v>10</v>
      </c>
    </row>
    <row r="3" spans="1:24">
      <c r="A3" s="150" t="s">
        <v>104</v>
      </c>
      <c r="B3" s="134" t="s">
        <v>105</v>
      </c>
      <c r="C3" s="150"/>
      <c r="D3" s="147">
        <v>125000</v>
      </c>
      <c r="E3" s="152">
        <f>+D3+C3</f>
        <v>125000</v>
      </c>
      <c r="G3" s="150" t="s">
        <v>104</v>
      </c>
      <c r="H3" s="134" t="s">
        <v>105</v>
      </c>
      <c r="I3" s="150"/>
      <c r="J3" s="147">
        <v>125000</v>
      </c>
      <c r="K3" s="152">
        <f>+J3+I3</f>
        <v>125000</v>
      </c>
      <c r="M3" s="150" t="s">
        <v>104</v>
      </c>
      <c r="N3" s="134" t="s">
        <v>105</v>
      </c>
      <c r="O3" s="150"/>
      <c r="P3" s="151">
        <v>125000</v>
      </c>
      <c r="Q3" s="152">
        <f>+P3+O3</f>
        <v>125000</v>
      </c>
      <c r="T3" s="150" t="s">
        <v>104</v>
      </c>
      <c r="U3" s="134" t="s">
        <v>105</v>
      </c>
      <c r="V3" s="150">
        <f>+C3-O3</f>
        <v>0</v>
      </c>
      <c r="W3" s="151">
        <f>+D3-P3</f>
        <v>0</v>
      </c>
      <c r="X3" s="152">
        <f>+E3-Q3</f>
        <v>0</v>
      </c>
    </row>
    <row r="4" spans="1:24">
      <c r="A4" s="150" t="s">
        <v>104</v>
      </c>
      <c r="B4" s="134" t="s">
        <v>106</v>
      </c>
      <c r="C4" s="150"/>
      <c r="D4" s="151"/>
      <c r="E4" s="152">
        <f t="shared" ref="E4:E11" si="0">+D4+C4</f>
        <v>0</v>
      </c>
      <c r="G4" s="150" t="s">
        <v>104</v>
      </c>
      <c r="H4" s="134" t="s">
        <v>106</v>
      </c>
      <c r="I4" s="150"/>
      <c r="J4" s="151"/>
      <c r="K4" s="152">
        <f t="shared" ref="K4:K7" si="1">+J4+I4</f>
        <v>0</v>
      </c>
      <c r="M4" s="150" t="s">
        <v>104</v>
      </c>
      <c r="N4" s="134" t="s">
        <v>106</v>
      </c>
      <c r="O4" s="150"/>
      <c r="P4" s="151"/>
      <c r="Q4" s="152">
        <f t="shared" ref="Q4:Q7" si="2">+P4+O4</f>
        <v>0</v>
      </c>
      <c r="T4" s="150" t="s">
        <v>104</v>
      </c>
      <c r="U4" s="134" t="s">
        <v>106</v>
      </c>
      <c r="V4" s="150">
        <f t="shared" ref="V4:V12" si="3">+C4-O4</f>
        <v>0</v>
      </c>
      <c r="W4" s="151">
        <f t="shared" ref="W4:W12" si="4">+D4-P4</f>
        <v>0</v>
      </c>
      <c r="X4" s="152">
        <f t="shared" ref="X4:X12" si="5">+E4-Q4</f>
        <v>0</v>
      </c>
    </row>
    <row r="5" spans="1:24">
      <c r="A5" s="150" t="s">
        <v>104</v>
      </c>
      <c r="B5" s="134" t="s">
        <v>107</v>
      </c>
      <c r="C5" s="148">
        <f>ROUND(167116*0.975,0)</f>
        <v>162938</v>
      </c>
      <c r="D5" s="151"/>
      <c r="E5" s="152">
        <f t="shared" si="0"/>
        <v>162938</v>
      </c>
      <c r="G5" s="150" t="s">
        <v>104</v>
      </c>
      <c r="H5" s="134" t="s">
        <v>107</v>
      </c>
      <c r="I5" s="148">
        <f>163839*0.975</f>
        <v>159743.02499999999</v>
      </c>
      <c r="J5" s="151"/>
      <c r="K5" s="152">
        <f t="shared" si="1"/>
        <v>159743.02499999999</v>
      </c>
      <c r="M5" s="150" t="s">
        <v>104</v>
      </c>
      <c r="N5" s="134" t="s">
        <v>107</v>
      </c>
      <c r="O5" s="150">
        <v>156611.32500000001</v>
      </c>
      <c r="P5" s="151"/>
      <c r="Q5" s="152">
        <f t="shared" si="2"/>
        <v>156611.32500000001</v>
      </c>
      <c r="T5" s="150" t="s">
        <v>104</v>
      </c>
      <c r="U5" s="134" t="s">
        <v>107</v>
      </c>
      <c r="V5" s="150">
        <f t="shared" si="3"/>
        <v>6326.6749999999884</v>
      </c>
      <c r="W5" s="151">
        <f t="shared" si="4"/>
        <v>0</v>
      </c>
      <c r="X5" s="152">
        <f t="shared" si="5"/>
        <v>6326.6749999999884</v>
      </c>
    </row>
    <row r="6" spans="1:24" ht="22.8">
      <c r="A6" s="150" t="s">
        <v>104</v>
      </c>
      <c r="B6" s="134" t="s">
        <v>121</v>
      </c>
      <c r="C6" s="148">
        <f>ROUND(167116*0.025,0)</f>
        <v>4178</v>
      </c>
      <c r="D6" s="151"/>
      <c r="E6" s="152">
        <f t="shared" si="0"/>
        <v>4178</v>
      </c>
      <c r="G6" s="150" t="s">
        <v>104</v>
      </c>
      <c r="H6" s="134" t="s">
        <v>121</v>
      </c>
      <c r="I6" s="148">
        <f>163839*0.025</f>
        <v>4095.9750000000004</v>
      </c>
      <c r="J6" s="151"/>
      <c r="K6" s="152">
        <f t="shared" si="1"/>
        <v>4095.9750000000004</v>
      </c>
      <c r="M6" s="150" t="s">
        <v>104</v>
      </c>
      <c r="N6" s="134" t="s">
        <v>121</v>
      </c>
      <c r="O6" s="150">
        <v>4015.6750000000002</v>
      </c>
      <c r="P6" s="151"/>
      <c r="Q6" s="152">
        <f t="shared" si="2"/>
        <v>4015.6750000000002</v>
      </c>
      <c r="T6" s="150" t="s">
        <v>104</v>
      </c>
      <c r="U6" s="134" t="s">
        <v>121</v>
      </c>
      <c r="V6" s="150">
        <f t="shared" si="3"/>
        <v>162.32499999999982</v>
      </c>
      <c r="W6" s="151">
        <f t="shared" si="4"/>
        <v>0</v>
      </c>
      <c r="X6" s="152">
        <f t="shared" si="5"/>
        <v>162.32499999999982</v>
      </c>
    </row>
    <row r="7" spans="1:24">
      <c r="A7" s="150" t="s">
        <v>104</v>
      </c>
      <c r="B7" s="134" t="s">
        <v>122</v>
      </c>
      <c r="C7" s="150"/>
      <c r="D7" s="151"/>
      <c r="E7" s="152">
        <f t="shared" si="0"/>
        <v>0</v>
      </c>
      <c r="G7" s="150" t="s">
        <v>104</v>
      </c>
      <c r="H7" s="134" t="s">
        <v>122</v>
      </c>
      <c r="I7" s="150"/>
      <c r="J7" s="151"/>
      <c r="K7" s="152">
        <f t="shared" si="1"/>
        <v>0</v>
      </c>
      <c r="M7" s="150" t="s">
        <v>104</v>
      </c>
      <c r="N7" s="134" t="s">
        <v>122</v>
      </c>
      <c r="O7" s="150"/>
      <c r="P7" s="151"/>
      <c r="Q7" s="152">
        <f t="shared" si="2"/>
        <v>0</v>
      </c>
      <c r="T7" s="150" t="s">
        <v>104</v>
      </c>
      <c r="U7" s="134" t="s">
        <v>122</v>
      </c>
      <c r="V7" s="150">
        <f t="shared" si="3"/>
        <v>0</v>
      </c>
      <c r="W7" s="151">
        <f t="shared" si="4"/>
        <v>0</v>
      </c>
      <c r="X7" s="152">
        <f t="shared" si="5"/>
        <v>0</v>
      </c>
    </row>
    <row r="8" spans="1:24">
      <c r="A8" s="150" t="s">
        <v>104</v>
      </c>
      <c r="B8" s="134" t="s">
        <v>124</v>
      </c>
      <c r="C8" s="150"/>
      <c r="D8" s="147">
        <v>14602</v>
      </c>
      <c r="E8" s="152">
        <f>+D8+C8</f>
        <v>14602</v>
      </c>
      <c r="G8" s="150" t="s">
        <v>104</v>
      </c>
      <c r="H8" s="134" t="s">
        <v>124</v>
      </c>
      <c r="I8" s="150"/>
      <c r="J8" s="147">
        <v>14602</v>
      </c>
      <c r="K8" s="152">
        <f>+J8+I8</f>
        <v>14602</v>
      </c>
      <c r="M8" s="150" t="s">
        <v>104</v>
      </c>
      <c r="N8" s="134" t="s">
        <v>124</v>
      </c>
      <c r="O8" s="150"/>
      <c r="P8" s="151"/>
      <c r="Q8" s="152">
        <f>+P8+O8</f>
        <v>0</v>
      </c>
      <c r="T8" s="150" t="s">
        <v>104</v>
      </c>
      <c r="U8" s="134" t="s">
        <v>124</v>
      </c>
      <c r="V8" s="150">
        <f t="shared" si="3"/>
        <v>0</v>
      </c>
      <c r="W8" s="151">
        <f t="shared" si="4"/>
        <v>14602</v>
      </c>
      <c r="X8" s="152">
        <f t="shared" si="5"/>
        <v>14602</v>
      </c>
    </row>
    <row r="9" spans="1:24">
      <c r="A9" s="150" t="s">
        <v>104</v>
      </c>
      <c r="B9" s="134" t="s">
        <v>123</v>
      </c>
      <c r="C9" s="150"/>
      <c r="D9" s="147">
        <v>278755</v>
      </c>
      <c r="E9" s="152">
        <f t="shared" si="0"/>
        <v>278755</v>
      </c>
      <c r="G9" s="150" t="s">
        <v>104</v>
      </c>
      <c r="H9" s="134" t="s">
        <v>123</v>
      </c>
      <c r="I9" s="150"/>
      <c r="J9" s="147">
        <v>278755</v>
      </c>
      <c r="K9" s="152">
        <f t="shared" ref="K9:K11" si="6">+J9+I9</f>
        <v>278755</v>
      </c>
      <c r="M9" s="150" t="s">
        <v>104</v>
      </c>
      <c r="N9" s="134" t="s">
        <v>123</v>
      </c>
      <c r="O9" s="150"/>
      <c r="P9" s="151"/>
      <c r="Q9" s="152">
        <f t="shared" ref="Q9:Q11" si="7">+P9+O9</f>
        <v>0</v>
      </c>
      <c r="T9" s="150" t="s">
        <v>104</v>
      </c>
      <c r="U9" s="134" t="s">
        <v>123</v>
      </c>
      <c r="V9" s="150">
        <f t="shared" si="3"/>
        <v>0</v>
      </c>
      <c r="W9" s="151">
        <f t="shared" si="4"/>
        <v>278755</v>
      </c>
      <c r="X9" s="152">
        <f t="shared" si="5"/>
        <v>278755</v>
      </c>
    </row>
    <row r="10" spans="1:24">
      <c r="A10" s="150" t="s">
        <v>104</v>
      </c>
      <c r="B10" s="134" t="s">
        <v>108</v>
      </c>
      <c r="C10" s="150"/>
      <c r="D10" s="147">
        <v>52391</v>
      </c>
      <c r="E10" s="152">
        <f t="shared" si="0"/>
        <v>52391</v>
      </c>
      <c r="G10" s="150" t="s">
        <v>104</v>
      </c>
      <c r="H10" s="134" t="s">
        <v>108</v>
      </c>
      <c r="I10" s="150"/>
      <c r="J10" s="147">
        <v>52391</v>
      </c>
      <c r="K10" s="152">
        <f t="shared" si="6"/>
        <v>52391</v>
      </c>
      <c r="M10" s="150" t="s">
        <v>104</v>
      </c>
      <c r="N10" s="134" t="s">
        <v>108</v>
      </c>
      <c r="O10" s="150"/>
      <c r="P10" s="151"/>
      <c r="Q10" s="152">
        <f t="shared" si="7"/>
        <v>0</v>
      </c>
      <c r="T10" s="150" t="s">
        <v>104</v>
      </c>
      <c r="U10" s="134" t="s">
        <v>108</v>
      </c>
      <c r="V10" s="150">
        <f t="shared" si="3"/>
        <v>0</v>
      </c>
      <c r="W10" s="151">
        <f t="shared" si="4"/>
        <v>52391</v>
      </c>
      <c r="X10" s="152">
        <f t="shared" si="5"/>
        <v>52391</v>
      </c>
    </row>
    <row r="11" spans="1:24">
      <c r="A11" s="150" t="s">
        <v>104</v>
      </c>
      <c r="B11" s="134" t="s">
        <v>125</v>
      </c>
      <c r="C11" s="148">
        <v>120167</v>
      </c>
      <c r="D11" s="151"/>
      <c r="E11" s="152">
        <f t="shared" si="0"/>
        <v>120167</v>
      </c>
      <c r="G11" s="150" t="s">
        <v>104</v>
      </c>
      <c r="H11" s="134" t="s">
        <v>125</v>
      </c>
      <c r="I11" s="148">
        <v>117811</v>
      </c>
      <c r="J11" s="151"/>
      <c r="K11" s="152">
        <f t="shared" si="6"/>
        <v>117811</v>
      </c>
      <c r="M11" s="150" t="s">
        <v>104</v>
      </c>
      <c r="N11" s="134" t="s">
        <v>125</v>
      </c>
      <c r="O11" s="150">
        <v>115501</v>
      </c>
      <c r="P11" s="151"/>
      <c r="Q11" s="152">
        <f t="shared" si="7"/>
        <v>115501</v>
      </c>
      <c r="T11" s="150" t="s">
        <v>104</v>
      </c>
      <c r="U11" s="134" t="s">
        <v>125</v>
      </c>
      <c r="V11" s="150">
        <f t="shared" si="3"/>
        <v>4666</v>
      </c>
      <c r="W11" s="151">
        <f t="shared" si="4"/>
        <v>0</v>
      </c>
      <c r="X11" s="152">
        <f t="shared" si="5"/>
        <v>4666</v>
      </c>
    </row>
    <row r="12" spans="1:24" ht="14.4" customHeight="1">
      <c r="A12" s="150"/>
      <c r="B12" s="135" t="s">
        <v>109</v>
      </c>
      <c r="C12" s="153">
        <f>SUM(C3:C11)</f>
        <v>287283</v>
      </c>
      <c r="D12" s="161">
        <f>SUM(D3:D11)</f>
        <v>470748</v>
      </c>
      <c r="E12" s="165">
        <f>SUM(E3:E11)</f>
        <v>758031</v>
      </c>
      <c r="G12" s="150"/>
      <c r="H12" s="135" t="s">
        <v>109</v>
      </c>
      <c r="I12" s="153">
        <f>SUM(I3:I11)</f>
        <v>281650</v>
      </c>
      <c r="J12" s="161">
        <f>SUM(J3:J11)</f>
        <v>470748</v>
      </c>
      <c r="K12" s="165">
        <f>SUM(K3:K11)</f>
        <v>752398</v>
      </c>
      <c r="M12" s="150"/>
      <c r="N12" s="135" t="s">
        <v>109</v>
      </c>
      <c r="O12" s="153">
        <f>SUM(O3:O11)</f>
        <v>276128</v>
      </c>
      <c r="P12" s="161">
        <f>SUM(P3:P11)</f>
        <v>125000</v>
      </c>
      <c r="Q12" s="165">
        <f>SUM(Q3:Q11)</f>
        <v>401128</v>
      </c>
      <c r="T12" s="150"/>
      <c r="U12" s="135" t="s">
        <v>109</v>
      </c>
      <c r="V12" s="153">
        <f t="shared" si="3"/>
        <v>11155</v>
      </c>
      <c r="W12" s="161">
        <f t="shared" si="4"/>
        <v>345748</v>
      </c>
      <c r="X12" s="165">
        <f t="shared" si="5"/>
        <v>356903</v>
      </c>
    </row>
    <row r="13" spans="1:24" ht="15" thickBot="1">
      <c r="A13" s="171"/>
      <c r="B13" s="172" t="s">
        <v>110</v>
      </c>
      <c r="C13" s="210" t="s">
        <v>140</v>
      </c>
      <c r="D13" s="211"/>
      <c r="E13" s="154">
        <f>ROUND(E12*0.949,0)</f>
        <v>719371</v>
      </c>
      <c r="G13" s="171"/>
      <c r="H13" s="172" t="s">
        <v>110</v>
      </c>
      <c r="I13" s="210" t="s">
        <v>140</v>
      </c>
      <c r="J13" s="211"/>
      <c r="K13" s="154">
        <f>K12*0.949</f>
        <v>714025.70199999993</v>
      </c>
      <c r="M13" s="171"/>
      <c r="N13" s="172" t="s">
        <v>110</v>
      </c>
      <c r="O13" s="210" t="s">
        <v>140</v>
      </c>
      <c r="P13" s="211"/>
      <c r="Q13" s="154">
        <f>Q12*0.949</f>
        <v>380670.47200000001</v>
      </c>
      <c r="T13" s="171"/>
      <c r="U13" s="172" t="s">
        <v>110</v>
      </c>
      <c r="V13" s="210" t="s">
        <v>140</v>
      </c>
      <c r="W13" s="211"/>
      <c r="X13" s="154">
        <f>X12*0.949</f>
        <v>338700.94699999999</v>
      </c>
    </row>
    <row r="14" spans="1:24">
      <c r="X14" s="149"/>
    </row>
    <row r="15" spans="1:24">
      <c r="C15" t="s">
        <v>113</v>
      </c>
      <c r="I15" t="s">
        <v>113</v>
      </c>
    </row>
    <row r="16" spans="1:24">
      <c r="C16" s="16">
        <f>E13-'Federal Funds Transactions'!X5</f>
        <v>0</v>
      </c>
      <c r="D16" t="s">
        <v>114</v>
      </c>
      <c r="I16" s="16">
        <f>K13-'Federal Funds Transactions'!AD5</f>
        <v>714025.70199999993</v>
      </c>
      <c r="J16" t="s">
        <v>114</v>
      </c>
      <c r="O16" s="16"/>
    </row>
    <row r="18" spans="1:7">
      <c r="A18" t="s">
        <v>151</v>
      </c>
      <c r="G18" t="s">
        <v>151</v>
      </c>
    </row>
  </sheetData>
  <mergeCells count="12">
    <mergeCell ref="T1:U1"/>
    <mergeCell ref="V1:X1"/>
    <mergeCell ref="V13:W13"/>
    <mergeCell ref="A1:B1"/>
    <mergeCell ref="C1:E1"/>
    <mergeCell ref="C13:D13"/>
    <mergeCell ref="M1:N1"/>
    <mergeCell ref="O1:Q1"/>
    <mergeCell ref="O13:P13"/>
    <mergeCell ref="G1:H1"/>
    <mergeCell ref="I1:K1"/>
    <mergeCell ref="I13:J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2014-07-03T17:00:58Z</cp:lastPrinted>
  <dcterms:created xsi:type="dcterms:W3CDTF">2013-05-11T20:19:37Z</dcterms:created>
  <dcterms:modified xsi:type="dcterms:W3CDTF">2026-01-02T22:41:31Z</dcterms:modified>
</cp:coreProperties>
</file>