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13_ncr:1_{1D727273-77B9-4493-871F-7608DB8F4EC9}" xr6:coauthVersionLast="47" xr6:coauthVersionMax="47" xr10:uidLastSave="{00000000-0000-0000-0000-000000000000}"/>
  <bookViews>
    <workbookView xWindow="-108" yWindow="-108" windowWidth="23256" windowHeight="12456"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Transactions'!$A$1:$T$52</definedName>
    <definedName name="Query_from_MS_Access_Database" localSheetId="0" hidden="1">'Federal Funds Transactions'!$A$15:$W$27</definedName>
    <definedName name="Query_from_MS_Access_Database" localSheetId="1" hidden="1">'Regional Loans and Transfers'!$A$11:$AA$104</definedName>
    <definedName name="Query_from_MS_Access_Database_1" localSheetId="0" hidden="1">'Federal Funds Transactions'!$A$32:$W$35</definedName>
    <definedName name="Query_from_MS_Access_Database_1" localSheetId="1" hidden="1">'Regional Loans and Transfers'!$A$107:$AA$198</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1" l="1"/>
  <c r="X17" i="1"/>
  <c r="X18" i="1"/>
  <c r="X19" i="1"/>
  <c r="X20" i="1"/>
  <c r="X21" i="1"/>
  <c r="X22" i="1"/>
  <c r="X23" i="1"/>
  <c r="X24" i="1"/>
  <c r="X25" i="1"/>
  <c r="X26" i="1"/>
  <c r="X27" i="1"/>
  <c r="X33" i="1"/>
  <c r="X34" i="1"/>
  <c r="X35" i="1"/>
  <c r="C4" i="4" l="1"/>
  <c r="C5" i="4" l="1"/>
  <c r="J10" i="4"/>
  <c r="I10" i="4"/>
  <c r="K9" i="4"/>
  <c r="K8" i="4"/>
  <c r="K7" i="4"/>
  <c r="K6" i="4"/>
  <c r="K5" i="4"/>
  <c r="K4" i="4"/>
  <c r="K3" i="4"/>
  <c r="K10" i="4" l="1"/>
  <c r="K11" i="4" s="1"/>
  <c r="J13" i="4" s="1"/>
  <c r="Y11" i="1"/>
  <c r="W11" i="1"/>
  <c r="V11" i="1"/>
  <c r="U11" i="1"/>
  <c r="T11" i="1"/>
  <c r="S11" i="1"/>
  <c r="R11" i="1"/>
  <c r="Q11" i="1"/>
  <c r="P11" i="1"/>
  <c r="O11" i="1"/>
  <c r="N11" i="1"/>
  <c r="M11" i="1"/>
  <c r="Y10" i="1"/>
  <c r="W10" i="1"/>
  <c r="V10" i="1"/>
  <c r="U10" i="1"/>
  <c r="T10" i="1"/>
  <c r="S10" i="1"/>
  <c r="R10" i="1"/>
  <c r="Q10" i="1"/>
  <c r="P10" i="1"/>
  <c r="O10" i="1"/>
  <c r="N10" i="1"/>
  <c r="M10" i="1"/>
  <c r="Y9" i="1"/>
  <c r="W9" i="1"/>
  <c r="V9" i="1"/>
  <c r="U9" i="1"/>
  <c r="T9" i="1"/>
  <c r="S9" i="1"/>
  <c r="R9" i="1"/>
  <c r="Q9" i="1"/>
  <c r="P9" i="1"/>
  <c r="O9" i="1"/>
  <c r="N9" i="1"/>
  <c r="M9" i="1"/>
  <c r="Y8" i="1"/>
  <c r="W8" i="1"/>
  <c r="V8" i="1"/>
  <c r="U8" i="1"/>
  <c r="T8" i="1"/>
  <c r="S8" i="1"/>
  <c r="R8" i="1"/>
  <c r="Q8" i="1"/>
  <c r="P8" i="1"/>
  <c r="O8" i="1"/>
  <c r="N8" i="1"/>
  <c r="M8" i="1"/>
  <c r="Y7" i="1"/>
  <c r="W7" i="1"/>
  <c r="V7" i="1"/>
  <c r="U7" i="1"/>
  <c r="T7" i="1"/>
  <c r="S7" i="1"/>
  <c r="R7" i="1"/>
  <c r="Q7" i="1"/>
  <c r="P7" i="1"/>
  <c r="O7" i="1"/>
  <c r="N7" i="1"/>
  <c r="M7" i="1"/>
  <c r="Y6" i="1"/>
  <c r="W6" i="1"/>
  <c r="V6" i="1"/>
  <c r="U6" i="1"/>
  <c r="T6" i="1"/>
  <c r="S6" i="1"/>
  <c r="R6" i="1"/>
  <c r="Q6" i="1"/>
  <c r="P6" i="1"/>
  <c r="O6" i="1"/>
  <c r="N6" i="1"/>
  <c r="M6" i="1"/>
  <c r="P10" i="4" l="1"/>
  <c r="O10" i="4"/>
  <c r="Q9" i="4"/>
  <c r="Q8" i="4"/>
  <c r="Q7" i="4"/>
  <c r="Q6" i="4"/>
  <c r="Q5" i="4"/>
  <c r="Q4" i="4"/>
  <c r="Q3" i="4"/>
  <c r="Q10" i="4" s="1"/>
  <c r="Q11" i="4" s="1"/>
  <c r="V10" i="4"/>
  <c r="U10" i="4"/>
  <c r="W9" i="4"/>
  <c r="W8" i="4"/>
  <c r="W7" i="4"/>
  <c r="W6" i="4"/>
  <c r="W5" i="4"/>
  <c r="W4" i="4"/>
  <c r="W3" i="4"/>
  <c r="W10" i="4" l="1"/>
  <c r="W11" i="4" s="1"/>
  <c r="V13" i="4" s="1"/>
  <c r="AG4" i="4"/>
  <c r="AH4" i="4"/>
  <c r="AG5" i="4"/>
  <c r="AH5" i="4"/>
  <c r="AG6" i="4"/>
  <c r="AH6" i="4"/>
  <c r="AG7" i="4"/>
  <c r="AH7" i="4"/>
  <c r="AG8" i="4"/>
  <c r="AH8" i="4"/>
  <c r="AG9" i="4"/>
  <c r="AH9" i="4"/>
  <c r="AH3" i="4"/>
  <c r="AG3" i="4"/>
  <c r="X43" i="1" l="1"/>
  <c r="O5" i="1" l="1"/>
  <c r="P5" i="1"/>
  <c r="Q5" i="1"/>
  <c r="R5" i="1"/>
  <c r="S5" i="1"/>
  <c r="U5" i="1"/>
  <c r="V5" i="1"/>
  <c r="U28" i="1"/>
  <c r="U43" i="1"/>
  <c r="V28" i="1"/>
  <c r="V43" i="1"/>
  <c r="W43" i="1"/>
  <c r="W28" i="1"/>
  <c r="X4" i="1"/>
  <c r="R28" i="1"/>
  <c r="R43" i="1"/>
  <c r="E12" i="2"/>
  <c r="D11" i="2"/>
  <c r="D13" i="2"/>
  <c r="E10" i="2"/>
  <c r="E11" i="2"/>
  <c r="R50" i="1"/>
  <c r="S50" i="1"/>
  <c r="T50" i="1"/>
  <c r="U50" i="1"/>
  <c r="V50" i="1"/>
  <c r="W50" i="1"/>
  <c r="M50" i="1"/>
  <c r="N50" i="1"/>
  <c r="O50" i="1"/>
  <c r="P50" i="1"/>
  <c r="Q50" i="1"/>
  <c r="N43" i="1"/>
  <c r="P43" i="1"/>
  <c r="Q43" i="1"/>
  <c r="S43" i="1"/>
  <c r="T43" i="1"/>
  <c r="M43" i="1"/>
  <c r="Q28" i="1"/>
  <c r="S28" i="1"/>
  <c r="T28" i="1"/>
  <c r="M28" i="1"/>
  <c r="X28" i="1"/>
  <c r="AI5" i="4"/>
  <c r="AI7" i="4"/>
  <c r="AI8" i="4"/>
  <c r="AI9" i="4"/>
  <c r="AB10" i="4"/>
  <c r="AA10" i="4"/>
  <c r="AC5" i="4"/>
  <c r="AC6" i="4"/>
  <c r="AC7" i="4"/>
  <c r="AC8" i="4"/>
  <c r="AC9" i="4"/>
  <c r="AC10" i="4" s="1"/>
  <c r="AC11" i="4" s="1"/>
  <c r="C10" i="4"/>
  <c r="E5" i="4"/>
  <c r="E6" i="4"/>
  <c r="E7" i="4"/>
  <c r="E8" i="4"/>
  <c r="E9" i="4"/>
  <c r="D10" i="4"/>
  <c r="AI6" i="4"/>
  <c r="AC4" i="4"/>
  <c r="AC3" i="4"/>
  <c r="E4" i="4"/>
  <c r="E3" i="4"/>
  <c r="AI4" i="4"/>
  <c r="AH10" i="4"/>
  <c r="AG10" i="4"/>
  <c r="AI3" i="4"/>
  <c r="Y50" i="1"/>
  <c r="N28" i="1"/>
  <c r="O28" i="1"/>
  <c r="P28" i="1"/>
  <c r="B5" i="3"/>
  <c r="A7" i="3"/>
  <c r="A1" i="3"/>
  <c r="O43" i="1"/>
  <c r="E10" i="4" l="1"/>
  <c r="E11" i="4" s="1"/>
  <c r="AI10" i="4"/>
  <c r="AI11" i="4" s="1"/>
  <c r="X11" i="1"/>
  <c r="N12" i="1"/>
  <c r="N29" i="1" s="1"/>
  <c r="N44" i="1" s="1"/>
  <c r="N49" i="1" s="1"/>
  <c r="X9" i="1"/>
  <c r="R12" i="1"/>
  <c r="R29" i="1" s="1"/>
  <c r="R44" i="1" s="1"/>
  <c r="R49" i="1" s="1"/>
  <c r="R51" i="1" s="1"/>
  <c r="W12" i="1"/>
  <c r="W29" i="1" s="1"/>
  <c r="W44" i="1" s="1"/>
  <c r="W49" i="1" s="1"/>
  <c r="V12" i="1"/>
  <c r="V29" i="1" s="1"/>
  <c r="V44" i="1" s="1"/>
  <c r="V49" i="1" s="1"/>
  <c r="V52" i="1" s="1"/>
  <c r="T12" i="1"/>
  <c r="T29" i="1" s="1"/>
  <c r="T44" i="1" s="1"/>
  <c r="T49" i="1" s="1"/>
  <c r="T51" i="1" s="1"/>
  <c r="O12" i="1"/>
  <c r="O29" i="1" s="1"/>
  <c r="O44" i="1" s="1"/>
  <c r="O49" i="1" s="1"/>
  <c r="P12" i="1"/>
  <c r="P29" i="1" s="1"/>
  <c r="P44" i="1" s="1"/>
  <c r="P49" i="1" s="1"/>
  <c r="Q12" i="1"/>
  <c r="Q29" i="1" s="1"/>
  <c r="X50" i="1"/>
  <c r="U12" i="1"/>
  <c r="U29" i="1" s="1"/>
  <c r="U44" i="1" s="1"/>
  <c r="U49" i="1" s="1"/>
  <c r="X7" i="1"/>
  <c r="X10" i="1"/>
  <c r="X5" i="1"/>
  <c r="S12" i="1"/>
  <c r="S29" i="1" s="1"/>
  <c r="S44" i="1" s="1"/>
  <c r="S49" i="1" s="1"/>
  <c r="S51" i="1" s="1"/>
  <c r="X6" i="1"/>
  <c r="M12" i="1"/>
  <c r="M29" i="1" s="1"/>
  <c r="M44" i="1" s="1"/>
  <c r="M49" i="1" s="1"/>
  <c r="R45" i="1"/>
  <c r="W45" i="1"/>
  <c r="N45" i="1"/>
  <c r="X8" i="1"/>
  <c r="X45" i="1"/>
  <c r="O45" i="1"/>
  <c r="P45" i="1"/>
  <c r="S45" i="1"/>
  <c r="V45" i="1"/>
  <c r="U45" i="1"/>
  <c r="M45" i="1"/>
  <c r="T45" i="1"/>
  <c r="Q45" i="1"/>
  <c r="P51" i="1" l="1"/>
  <c r="Y5" i="1"/>
  <c r="D13" i="4" s="1"/>
  <c r="Q44" i="1"/>
  <c r="Q49" i="1" s="1"/>
  <c r="Q51" i="1" s="1"/>
  <c r="M52" i="1"/>
  <c r="W52" i="1"/>
  <c r="W51" i="1"/>
  <c r="X12" i="1"/>
  <c r="X29" i="1" s="1"/>
  <c r="X44" i="1" s="1"/>
  <c r="S52" i="1"/>
  <c r="P52" i="1"/>
  <c r="R52" i="1"/>
  <c r="U52" i="1"/>
  <c r="U51" i="1"/>
  <c r="V51" i="1"/>
  <c r="M51" i="1"/>
  <c r="T52" i="1"/>
  <c r="N51" i="1"/>
  <c r="N52" i="1"/>
  <c r="O52" i="1"/>
  <c r="O51" i="1"/>
  <c r="Y12" i="1" l="1"/>
  <c r="Q52" i="1"/>
  <c r="X52" i="1" s="1"/>
  <c r="X49" i="1"/>
  <c r="X51" i="1"/>
  <c r="Y33" i="1"/>
  <c r="Y34" i="1" s="1"/>
  <c r="Y35" i="1" s="1"/>
  <c r="Y16" i="1"/>
  <c r="Y17" i="1" s="1"/>
  <c r="Y18" i="1" s="1"/>
  <c r="Y19" i="1" s="1"/>
  <c r="Y20" i="1" s="1"/>
  <c r="Y21" i="1" s="1"/>
  <c r="Y22" i="1" s="1"/>
  <c r="Y23" i="1" s="1"/>
  <c r="Y24" i="1" s="1"/>
  <c r="Y25" i="1" s="1"/>
  <c r="Y26" i="1" s="1"/>
  <c r="Y27" i="1" s="1"/>
  <c r="Y49" i="1" l="1"/>
  <c r="Y5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12-SVMPO LEDGER`.`ADOT#`, `12-SVMPO LEDGER`.`TIP#`, `12-SVMPO LEDGER`.Sponsor, `12-SVMPO LEDGER`.`Action/15`, `12-SVMPO LEDGER`.Location, `12-SVMPO LEDGER`.RTE, `12-SVMPO LEDGER`.SEC, `12-SVMPO LEDGER`.SEQ, `12-SVMPO LEDGER`.`PB Expected`, `12-SVMPO LEDGER`.`PB Received`, `12-SVMPO LEDGER`.`PF Transmitted`, `12-SVMPO LEDGER`.`Finance Authorization`, `12-SVMPO LEDGER`.`HURF EXCHANGE` AS `HURF EX`, `12-SVMPO LEDGER`.HSIP, `12-SVMPO LEDGER`.PL, `12-SVMPO LEDGER`.`PL-SATO`,  `12-SVMPO LEDGER`.SPR, `12-SVMPO LEDGER`.`STP &lt;5`, `12-SVMPO LEDGER`.`STP 5-200`, `12-SVMPO LEDGER`.`STP 5-50`, `12-SVMPO LEDGER`.`STP 50-200`, `12-SVMPO LEDGER`.`CRP 50-200`, `12-SVMPO LEDGER`.`STP other`_x000d__x000a_FROM `G:\FMS\RESOURCE\ACCESS\010614 PBPF\011614 PBPF front.accdb`.`12-SVMPO LEDGER` `12-SVMPO LEDGER`_x000d__x000a_WHERE (`12-SVMPO LEDGER`.`ADOT#`&lt;&gt;'Trick') AND (`12-SVMPO LEDGER`.`Finance Authorization`&gt;=#10/1/2025# AND `12-SVMPO LEDGER`.`Finance Authorization`&lt;=#9/30/2026#)_x000d__x000a_ORDER BY `12-SVMPO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12-SVqryLedgerApportsCrosstab`.`Transaction Year`, `12-SVqryLedgerApportsCrosstab`.`Transaction Type`, `12-SVqryLedgerApportsCrosstab`.Number, `12-SVqryLedgerApportsCrosstab`.`From`, `12-SVqryLedgerApportsCrosstab`.To, `12-SVqryLedgerApportsCrosstab`.`Repayment Year`, `12-SVqryLedgerApportsCrosstab`.Project8, `12-SVqryLedgerApportsCrosstab`.Notes, `12-SVqryLedgerApportsCrosstab`.Total, `12-SVqryLedgerApportsCrosstab`.CMAQ, `12-SVqryLedgerApportsCrosstab`.`CMAQ 25`, `12-SVqryLedgerApportsCrosstab`.`HURF Exchange`, `12-SVqryLedgerApportsCrosstab`.HSIP, `12-SVqryLedgerApportsCrosstab`.PLAN,`12-SVqryLedgerApportsCrosstab`.`PLAN SATO`, `12-SVqryLedgerApportsCrosstab`.SPR, `12-SVqryLedgerApportsCrosstab`.`STP &lt;5`, `12-SVqryLedgerApportsCrosstab`.`STP 5-2`,  `12-SVqryLedgerApportsCrosstab`.`STP 5-50`,`12-SVqryLedgerApportsCrosstab`.`STP 50-200`,`12-SVqryLedgerApportsCrosstab`.`CRP 50-200`,`12-SVqryLedgerApportsCrosstab`.`STP FLEX`, `12-SVqryLedgerApportsCrosstab`.`STP &gt;200`, `12-SVqryLedgerApportsCrosstab`.`TAP FLEX`, `12-SVqryLedgerApportsCrosstab`.`TAP &gt;200`, `12-SVqryLedgerApportsCrosstab`.`TAP &lt;5`, `12-SVqryLedgerApportsCrosstab`.`TAP 5-2`_x000d__x000a_FROM `G:\FMS\RESOURCE\ACCESS\010614 PBPF\011614 PBPF front.accdb`.`12-SVqryLedgerApportsCrosstab` `12-SVqryLedgerApportsCrosstab`_x000d__x000a_WHERE (`12-SV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12-SVqryLedgerOACrosstab`.`Transaction Year`, `12-SVqryLedgerOACrosstab`.`Transaction Type`, `12-SVqryLedgerOACrosstab`.Number, `12-SVqryLedgerOACrosstab`.`From`, `12-SVqryLedgerOACrosstab`.To, `12-SVqryLedgerOACrosstab`.`Repayment Year`, `12-SVqryLedgerOACrosstab`.Project8, `12-SVqryLedgerOACrosstab`.Notes, `12-SVqryLedgerOACrosstab`.Total, `12-SVqryLedgerOACrosstab`.CMAQ, `12-SVqryLedgerOACrosstab`.`CMAQ 25`, `12-SVqryLedgerOACrosstab`.`HURF Exchange`, `12-SVqryLedgerOACrosstab`.HSIP, `12-SVqryLedgerOACrosstab`.PLAN, `12-SVqryLedgerOACrosstab`.`PLAN SATO`,`12-SVqryLedgerOACrosstab`.SPR, `12-SVqryLedgerOACrosstab`.`STP &lt;5`, `12-SVqryLedgerOACrosstab`.`STP 5-2`, `12-SVqryLedgerOACrosstab`.`STP 5-50`,`12-SVqryLedgerOACrosstab`.`STP 50-200`,`12-SVqryLedgerOACrosstab`.`CRP 50-200`,`12-SVqryLedgerOACrosstab`.`STP FLEX`, `12-SVqryLedgerOACrosstab`.`STP &gt;200`, `12-SVqryLedgerOACrosstab`.`TAP FLEX`, `12-SVqryLedgerOACrosstab`.`TAP &gt;200`, `12-SVqryLedgerOACrosstab`.`TAP &lt;5`, `12-SVqryLedgerOACrosstab`.`TAP 5-2`_x000d__x000a_FROM `G:\FMS\RESOURCE\ACCESS\010614 PBPF\011614 PBPF front.accdb`.`12-SVqryLedgerOACrosstab` `12-SVqryLedgerOACrosstab`_x000d__x000a_WHERE (`12-SV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12-SVMPO LEDGER`.`ADOT#`, `12-SVMPO LEDGER`.`TIP#`, `12-SVMPO LEDGER`.Sponsor, `12-SVMPO LEDGER`.`Action/15`, `12-SVMPO LEDGER`.Location, `12-SVMPO LEDGER`.RTE, `12-SVMPO LEDGER`.SEC, `12-SVMPO LEDGER`.SEQ, `12-SVMPO LEDGER`.`PB Expected`, `12-SVMPO LEDGER`.`PB Received`, `12-SVMPO LEDGER`.`PF Transmitted`, `12-SVMPO LEDGER`.`Finance Authorization`, `12-SVMPO LEDGER`.`hurf exchange` as `HURF EX`, `12-SVMPO LEDGER`.HSIP, `12-SVMPO LEDGER`.PL,  `12-SVMPO LEDGER`.`PL-SATO`,`12-SVMPO LEDGER`.SPR, `12-SVMPO LEDGER`.`STP &lt;5`, `12-SVMPO LEDGER`.`STP 5-200`,`12-SVMPO LEDGER`.`STP 5-50`,`12-SVMPO LEDGER`.`STP 50-200`,`12-SVMPO LEDGER`.`CRP 50-200`,  `12-SVMPO LEDGER`.`STP OTHER`_x000d__x000a_FROM `G:\FMS\RESOURCE\ACCESS\010614 PBPF\011614 PBPF front.accdb`.`12-SVMPO LEDGER` `12-SVMPO LEDGER`_x000d__x000a_WHERE (`12-SVMPO LEDGER`.`ADOT#` Not Like 'Trick') AND (`12-SVMPO LEDGER`.`Finance Authorization` Is Null) AND ((`12-SVMPO LEDGER`.`PB Expected`&gt;=#10/1/2025# and `PB Expected`&lt;=#9/30/2026#) OR (`12-SVMPO LEDGER`.`PB Received`&gt;=#10/1/2025# and `PB Received`&lt;=#9/30/2026#) OR (`12-SVMPO LEDGER`.`PF Transmitted`&gt;=#10/1/2025# and `PF Transmitted`&lt;=#9/30/2026#))_x000d__x000a_ORDER BY `12-SVMPO LEDGER`.`ADOT#`"/>
  </connection>
</connections>
</file>

<file path=xl/sharedStrings.xml><?xml version="1.0" encoding="utf-8"?>
<sst xmlns="http://schemas.openxmlformats.org/spreadsheetml/2006/main" count="1920" uniqueCount="327">
  <si>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</si>
  <si>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</si>
  <si>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</si>
  <si>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</si>
  <si>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</si>
  <si>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</si>
  <si>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</si>
  <si>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</si>
  <si>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</si>
  <si>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</si>
  <si>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</si>
  <si>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</si>
  <si>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</si>
  <si>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</si>
  <si>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</si>
  <si>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</si>
  <si>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</si>
  <si>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</si>
  <si>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</si>
  <si>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</si>
  <si>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</si>
  <si>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</si>
  <si>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</si>
  <si>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</si>
  <si>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</si>
  <si>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</si>
  <si>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</si>
  <si>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</si>
  <si>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</si>
  <si>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</si>
  <si>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</si>
  <si>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</si>
  <si>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</si>
  <si>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</si>
  <si>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</si>
  <si>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</si>
  <si>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</si>
  <si>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</si>
  <si>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</si>
  <si>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</si>
  <si>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PL</t>
  </si>
  <si>
    <t>Transaction Year</t>
  </si>
  <si>
    <t>Transaction Type</t>
  </si>
  <si>
    <t>Repayment Year</t>
  </si>
  <si>
    <t>RTE</t>
  </si>
  <si>
    <t>SEC</t>
  </si>
  <si>
    <t>SEQ</t>
  </si>
  <si>
    <t>PB Expected</t>
  </si>
  <si>
    <t>PB Received</t>
  </si>
  <si>
    <t>PF Transmitted</t>
  </si>
  <si>
    <t>Finance Authorization</t>
  </si>
  <si>
    <t>STP OTHER</t>
  </si>
  <si>
    <t>TOTAL</t>
  </si>
  <si>
    <t>SPR /4</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</si>
  <si>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</si>
  <si>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</si>
  <si>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</si>
  <si>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</si>
  <si>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</si>
  <si>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</si>
  <si>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</si>
  <si>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</si>
  <si>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</si>
  <si>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</si>
  <si>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</si>
  <si>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</si>
  <si>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</si>
  <si>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</si>
  <si>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</si>
  <si>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</si>
  <si>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</si>
  <si>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Total Used</t>
  </si>
  <si>
    <t>LAPSING FUNDS /17</t>
  </si>
  <si>
    <t>CURRENT YEAR FUNDS</t>
  </si>
  <si>
    <t>APPORTIONMENT LOANS, REPAYMENTS AND TRANSFERS /see Notes 7 - 12</t>
  </si>
  <si>
    <t>Data as of:</t>
  </si>
  <si>
    <t xml:space="preserve">Federal Aid Regional Loans and Transfers Ledger
</t>
  </si>
  <si>
    <t>Action/15</t>
  </si>
  <si>
    <t>TOTAL OF AMOUNT</t>
  </si>
  <si>
    <t>Expected Totals</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</si>
  <si>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</si>
  <si>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</si>
  <si>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</si>
  <si>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</si>
  <si>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</si>
  <si>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DECLINING BALANCE OA</t>
  </si>
  <si>
    <t>Loan Out</t>
  </si>
  <si>
    <t>Repayment In</t>
  </si>
  <si>
    <t>ADOT</t>
  </si>
  <si>
    <t>2014</t>
  </si>
  <si>
    <t>2019</t>
  </si>
  <si>
    <t>SEAGO</t>
  </si>
  <si>
    <t>2016</t>
  </si>
  <si>
    <t>2015</t>
  </si>
  <si>
    <t>Current FFY
Apportionments /5</t>
  </si>
  <si>
    <t>Lapsing</t>
  </si>
  <si>
    <t>2017</t>
  </si>
  <si>
    <t>2018</t>
  </si>
  <si>
    <t>STP &lt;5</t>
  </si>
  <si>
    <t>Transfer Out</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</si>
  <si>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</si>
  <si>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</si>
  <si>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</si>
  <si>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SVMPO-LP01</t>
  </si>
  <si>
    <t>SVMPO</t>
  </si>
  <si>
    <t>SVMPO LAPSING FUNDS - FFY14</t>
  </si>
  <si>
    <t>SVMPO1401</t>
  </si>
  <si>
    <t>SAN CARLOS ROUTE 193</t>
  </si>
  <si>
    <t>SVMPO LOAN TO SEAGO 2014</t>
  </si>
  <si>
    <t>Transfer In</t>
  </si>
  <si>
    <t>SEAGO14-T001</t>
  </si>
  <si>
    <t>COVER HSIP SHORTAGE</t>
  </si>
  <si>
    <t>SVMPO14-T001</t>
  </si>
  <si>
    <t>H8497</t>
  </si>
  <si>
    <t>TO ADOT</t>
  </si>
  <si>
    <t>SVMPO-15L1</t>
  </si>
  <si>
    <t>SVMPO HSIP Loan to SEAGO</t>
  </si>
  <si>
    <t>SVMPO-15L2</t>
  </si>
  <si>
    <t>SVMPO STP Loan to SEAGO</t>
  </si>
  <si>
    <t>SVMPO-16L1</t>
  </si>
  <si>
    <t>SVMPO-16L2</t>
  </si>
  <si>
    <t>SVMPOMAG-16L1</t>
  </si>
  <si>
    <t>MAG</t>
  </si>
  <si>
    <t>SVMPO HSIP/STP Loan to MAG</t>
  </si>
  <si>
    <t>SVMPOADOT-17L1</t>
  </si>
  <si>
    <t>SVMPO HSIP Loan to ADOT</t>
  </si>
  <si>
    <t>SVMPOFMPO-17L1</t>
  </si>
  <si>
    <t>FMPO</t>
  </si>
  <si>
    <t>Regional Safety Plan</t>
  </si>
  <si>
    <t>SVMPO HSIP Loan to FMPO</t>
  </si>
  <si>
    <t>SVMPOMAG-17L1</t>
  </si>
  <si>
    <t>SVMPO STP Loan to MAG</t>
  </si>
  <si>
    <t>SVMPOMAG-17L2</t>
  </si>
  <si>
    <t>SVMPO HSIP Loan to MAG</t>
  </si>
  <si>
    <t>SVMPOSEAGO-17L1</t>
  </si>
  <si>
    <t>Sierra Vista Metropolitan Planning Organization</t>
  </si>
  <si>
    <t>PLAN</t>
  </si>
  <si>
    <t>TAP &lt;5</t>
  </si>
  <si>
    <t>TAP 5-2</t>
  </si>
  <si>
    <t>STP 5-200</t>
  </si>
  <si>
    <t>HURF EX</t>
  </si>
  <si>
    <t>HURF Ex</t>
  </si>
  <si>
    <t>HURF Exchange</t>
  </si>
  <si>
    <t>SZ15001C/SZ06801C</t>
  </si>
  <si>
    <t>SVMPO HSIP LOAN TO ADOT</t>
  </si>
  <si>
    <t>SVMPOADOT-18L1</t>
  </si>
  <si>
    <t>SVMPOMAG-18L1</t>
  </si>
  <si>
    <t>SVMPOSEAGO-18T1</t>
  </si>
  <si>
    <t>VARIOUS HSIP</t>
  </si>
  <si>
    <t>SVMPO HSIP Transfer to SEAGO</t>
  </si>
  <si>
    <t>SVMPOADOT-18L2</t>
  </si>
  <si>
    <t>FY19 TIP</t>
  </si>
  <si>
    <t>SVMPO HSIP/STBGP Loan to ADOT</t>
  </si>
  <si>
    <t>T018201C</t>
  </si>
  <si>
    <t>T018201D</t>
  </si>
  <si>
    <t>SVMPOADOT-18L3</t>
  </si>
  <si>
    <t>SVMPO STBGP Loan to ADOT</t>
  </si>
  <si>
    <t>SVMPO19-01</t>
  </si>
  <si>
    <t>SVMPOADOT-19L1</t>
  </si>
  <si>
    <t>2020</t>
  </si>
  <si>
    <t>SVMPOCYMPO-19L1</t>
  </si>
  <si>
    <t>CYMPO</t>
  </si>
  <si>
    <t>DDPE</t>
  </si>
  <si>
    <t>SVMPO STBGP Loan to CYMPO</t>
  </si>
  <si>
    <t>SVMPOSEAGO-19L1</t>
  </si>
  <si>
    <t>2021</t>
  </si>
  <si>
    <t>SZ02701C</t>
  </si>
  <si>
    <t>SVMPO STBGP Loan to SEAGO</t>
  </si>
  <si>
    <t>SVMPOSEAGO-19L2</t>
  </si>
  <si>
    <t>ADOTSVMPO-19T1</t>
  </si>
  <si>
    <t>ADOT HURF EX Transfer to SVMPO</t>
  </si>
  <si>
    <t>ADOTSVMPO-19T2</t>
  </si>
  <si>
    <t>SVMPO STP 5-2 Transfer to ADOT</t>
  </si>
  <si>
    <t>ADOTSVMPO-20T1</t>
  </si>
  <si>
    <t>SVMPOADOT-19L2</t>
  </si>
  <si>
    <t>2020, 2023</t>
  </si>
  <si>
    <t>SVMPOADOT-20L1</t>
  </si>
  <si>
    <t>ADOTSVMPO-20T2</t>
  </si>
  <si>
    <t>T022401C</t>
  </si>
  <si>
    <t>SVMPOADOT-21T1</t>
  </si>
  <si>
    <t>ADOTSVMPO-21T1</t>
  </si>
  <si>
    <t>2023</t>
  </si>
  <si>
    <t>Statutory</t>
  </si>
  <si>
    <t>Disc</t>
  </si>
  <si>
    <t>SVMPO OA</t>
  </si>
  <si>
    <t>OA Ratio (OA/apportionments) /1</t>
  </si>
  <si>
    <t>Fund Type</t>
  </si>
  <si>
    <t xml:space="preserve">Program Category </t>
  </si>
  <si>
    <t>Formula</t>
  </si>
  <si>
    <t xml:space="preserve">SPR (Planning) </t>
  </si>
  <si>
    <t xml:space="preserve">Metropolitan Planning </t>
  </si>
  <si>
    <t xml:space="preserve">STP &lt; 5k </t>
  </si>
  <si>
    <t>Total Formula Apportionments</t>
  </si>
  <si>
    <t>Total Formula OA (@94.9%)</t>
  </si>
  <si>
    <t>check</t>
  </si>
  <si>
    <t>rounding</t>
  </si>
  <si>
    <t>OA is the amount of authorized apportionments which Congress allows states to obligate in an individual year. This is the amount which FHWA will reimburse.</t>
  </si>
  <si>
    <t>Sierra Vista MPO Change</t>
  </si>
  <si>
    <t>HSIP is now managed as a competitive program by ADOT.   However,  HSIP funding released off of  projects that were funded from the ledger will be released back onto the ledger.</t>
  </si>
  <si>
    <t>Sierra Vista MPO FFY22</t>
  </si>
  <si>
    <t>PL-SATO</t>
  </si>
  <si>
    <t>STP 5-50</t>
  </si>
  <si>
    <t>STP 50-200</t>
  </si>
  <si>
    <t>CRP 50-200</t>
  </si>
  <si>
    <t>CMAQ</t>
  </si>
  <si>
    <t>CMAQ 25</t>
  </si>
  <si>
    <t>PLAN SATO</t>
  </si>
  <si>
    <t>STP FLEX</t>
  </si>
  <si>
    <t>STP &gt;200</t>
  </si>
  <si>
    <t>TAP FLEX</t>
  </si>
  <si>
    <t>TAP &gt;200</t>
  </si>
  <si>
    <t>CRP 50--200</t>
  </si>
  <si>
    <t>2022</t>
  </si>
  <si>
    <t>SVMPOADOT-22L1</t>
  </si>
  <si>
    <t>SVMPO CRP Loan to ADOT</t>
  </si>
  <si>
    <t>Loan STBG for use of future projects</t>
  </si>
  <si>
    <t>SVMPO STBG Loan to ADOT</t>
  </si>
  <si>
    <t>Loan CRP for use of future projects</t>
  </si>
  <si>
    <t>Sierra Vista MPO FFY23</t>
  </si>
  <si>
    <t>SPR (State Planning &amp; Research) apportionment availability for approved work program</t>
  </si>
  <si>
    <t>N/A</t>
  </si>
  <si>
    <t>OA LOANS, REPAYMENTS AND TRANSFERS /see Notes 7 - 12</t>
  </si>
  <si>
    <t>SVMPOSEAGO-23L1</t>
  </si>
  <si>
    <t>2025</t>
  </si>
  <si>
    <t>Clifton Chase Bridge Project</t>
  </si>
  <si>
    <t>SVMPO Loan to SEAGO</t>
  </si>
  <si>
    <t>SVMPOSEAGO-23L1A</t>
  </si>
  <si>
    <t>2024</t>
  </si>
  <si>
    <t>Loan In</t>
  </si>
  <si>
    <t>MAGSVMPO-24L1</t>
  </si>
  <si>
    <t>Transfer for FY24 BST Design Project</t>
  </si>
  <si>
    <t>MAG STP 50-200 LOAN TO SVMPO</t>
  </si>
  <si>
    <t>Repayment Out</t>
  </si>
  <si>
    <t>SVMPOADOT-23L1</t>
  </si>
  <si>
    <t>Loan for FY24 Projects</t>
  </si>
  <si>
    <t>SVMPO Loan to ADOT</t>
  </si>
  <si>
    <t>SVMPOADOT-23L2</t>
  </si>
  <si>
    <t xml:space="preserve">Please direct questions regarding federal funding ledgers to ADOT Financial Management Services at </t>
  </si>
  <si>
    <t>resourceadmin@azdot.gov.</t>
  </si>
  <si>
    <t>All OA and apportionments are subject to lapse annually on June 30th.</t>
  </si>
  <si>
    <t xml:space="preserve"> </t>
  </si>
  <si>
    <t>SVMPOYMPO-25L1</t>
  </si>
  <si>
    <t>YMPO</t>
  </si>
  <si>
    <t>2026</t>
  </si>
  <si>
    <t>Loan for FFY25 Projects</t>
  </si>
  <si>
    <t>SVMPO STP 50-200K Loan to YMPO</t>
  </si>
  <si>
    <t>SVMPOADOT-24L1</t>
  </si>
  <si>
    <t>HSIP Safety Study Project</t>
  </si>
  <si>
    <t>SVMPOADOT-24L2</t>
  </si>
  <si>
    <t>FY25 Projects</t>
  </si>
  <si>
    <t>SVMPO STP 50-200K Loan to ADOT</t>
  </si>
  <si>
    <t>SVMPOADOT-24L3</t>
  </si>
  <si>
    <t>Signal Timing Study</t>
  </si>
  <si>
    <t>Sierra Vista MPO FFY24</t>
  </si>
  <si>
    <t>SVMPOADOT-24T1</t>
  </si>
  <si>
    <t>T053201C</t>
  </si>
  <si>
    <t>SVMPO STP 50-200K Transfer to ADOT</t>
  </si>
  <si>
    <t>SVM</t>
  </si>
  <si>
    <t>S</t>
  </si>
  <si>
    <t>P</t>
  </si>
  <si>
    <t>PSV2601P</t>
  </si>
  <si>
    <t>SVMPO FY 2026/FY 2027 WP - SPR</t>
  </si>
  <si>
    <t>026</t>
  </si>
  <si>
    <t>PSV2602P</t>
  </si>
  <si>
    <t>SVMPO FY 2026/FY 2027 WP - PL</t>
  </si>
  <si>
    <t>SVMPO FY 2026/FY 2027 WP - PL-SATO</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</si>
  <si>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</si>
  <si>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</si>
  <si>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1/. This ledger does not track Transit funding. Transit Consolidated Planning Grant (CPG) funding will be added as a footnote here upon receipt of FFY25 allocations.</t>
  </si>
  <si>
    <t xml:space="preserve">1. Any HSIP apportionments that become available on the ledger as a result of a project close out or other reasons, are eligible to be exchanged for STBG apportionments. </t>
  </si>
  <si>
    <t>ADOTSVMPO-25L1</t>
  </si>
  <si>
    <t>T0503 - Skyline Dr.</t>
  </si>
  <si>
    <t>ADOT STP &lt;5 Loan to SVMPO</t>
  </si>
  <si>
    <t>ADOTSVMPO-25T1</t>
  </si>
  <si>
    <t>ADOT STP &lt;5 Transfer to SVMPO</t>
  </si>
  <si>
    <t>SVMPOADOT-25T1</t>
  </si>
  <si>
    <t>SVMPO HSIP Transfer to ADOT</t>
  </si>
  <si>
    <t>SVMPOADOT-25L1</t>
  </si>
  <si>
    <t>SVMPO STP &lt;5 Loan to ADOT</t>
  </si>
  <si>
    <t>SVMPOADOT-25L2</t>
  </si>
  <si>
    <t>UPWP - Signal Project</t>
  </si>
  <si>
    <t>PSV2603P</t>
  </si>
  <si>
    <t>SVMPO FY 2026/FY 2027 WP - STBG</t>
  </si>
  <si>
    <t>PSV26S2P</t>
  </si>
  <si>
    <t>SVMPO CRP 50-200K Loan to ADOT</t>
  </si>
  <si>
    <t>ADOT-LOCAL PROJECTS</t>
  </si>
  <si>
    <t>Planned Lapsing - 06/30/26</t>
  </si>
  <si>
    <t>Lapsed - 07/01/26</t>
  </si>
  <si>
    <t>Planned Lapsing - 09/30/26</t>
  </si>
  <si>
    <t>Carry Forward to FFY 27</t>
  </si>
  <si>
    <t>Federal Fiscal Year 2026</t>
  </si>
  <si>
    <t>Sierra Vista MPO FFY25</t>
  </si>
  <si>
    <t>Sierra Vista MPO FFY26 Est.</t>
  </si>
  <si>
    <t>State FY 26 Approved work program amount</t>
  </si>
  <si>
    <t>State FY 26 amount authorized prior to 09/30/25 or Lapsed funding</t>
  </si>
  <si>
    <t>State FY 26 amount available for authorization 10/01/25 - 06/30/26</t>
  </si>
  <si>
    <t>State FY 27 amount available for authorization 07/1/26 - 09/30/26 (request must be submitted by 09/01/26)</t>
  </si>
  <si>
    <t>Total SPR apportionments for Federal Fiscal Year 26 (as shown on ledger)</t>
  </si>
  <si>
    <t>T050301C</t>
  </si>
  <si>
    <t>Skyline Dr from SR90 to Landfill in Huachuca City</t>
  </si>
  <si>
    <t>HCY</t>
  </si>
  <si>
    <t>SVMPOSEAGO-26L1</t>
  </si>
  <si>
    <t>2027</t>
  </si>
  <si>
    <t>T058101C - Chino Rd. Reconstruction</t>
  </si>
  <si>
    <t>SVMPO STP 50-200K Loan to SEAGO</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</si>
  <si>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</si>
  <si>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 xml:space="preserve">Federal Aid Transaction Ledger
</t>
  </si>
  <si>
    <t>The FFY 26 OA limitation ratio for the State is 87.4%.  The rate for calculations in FY 2026 for the ledgers is 0.949.  This rate is subject to change in future fiscal years.</t>
  </si>
  <si>
    <t>2. This ledger does not track Transit funding. Transit Consolidated Planning Grant (CPG) funding will be added as a footnote here upon receipt of FFY26 allocations.</t>
  </si>
  <si>
    <t xml:space="preserve">3. In Spring of FFY 2025, ADOT loaned SVMPO $257,054 for the Skyline project T050301C (ADOTSVMPO-25L1). Due to right-of-way acquisition delays, the project was deferred to FFY 2026. As a result, SVMPO loaned the project funding to ADOT ($500,000) with repayment in FFY 2026 (SVMPOADOT-25L1).
</t>
  </si>
  <si>
    <t>PSV24S2P</t>
  </si>
  <si>
    <t>FY24-25 SATO Work Program SVMPO</t>
  </si>
  <si>
    <t>024</t>
  </si>
  <si>
    <t>PSV2402P</t>
  </si>
  <si>
    <t>SVMPO FY 2024 / FY 2025 WP - PL</t>
  </si>
  <si>
    <t>PSV2401P</t>
  </si>
  <si>
    <t>SVMPO FY 2024/FY 2025 WP - SPR</t>
  </si>
  <si>
    <t>PSV2605P</t>
  </si>
  <si>
    <t>VMPO FY 2026/FY 2027 WP:</t>
  </si>
  <si>
    <t>C</t>
  </si>
  <si>
    <t>PSV2405P</t>
  </si>
  <si>
    <t>COCHISE CO-SVMPO</t>
  </si>
  <si>
    <t xml:space="preserve"> FY 2024 / FY2025 Sierra Vista Metropolitan Planning Organization (SVMPO) Work Program</t>
  </si>
  <si>
    <t>ADOT# 103379</t>
  </si>
  <si>
    <t>0</t>
  </si>
  <si>
    <t>200</t>
  </si>
  <s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</sst>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mm/dd/yy;@"/>
    <numFmt numFmtId="165" formatCode="mm/dd/yyyy"/>
    <numFmt numFmtId="166" formatCode="m/d/yy;@"/>
  </numFmts>
  <fonts count="57">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Arial"/>
      <family val="2"/>
    </font>
    <font>
      <sz val="10"/>
      <name val="Arial"/>
      <family val="2"/>
    </font>
    <font>
      <sz val="12"/>
      <name val="Times New Roman"/>
      <family val="1"/>
    </font>
    <font>
      <sz val="8"/>
      <name val="Arial"/>
      <family val="2"/>
    </font>
    <font>
      <sz val="10"/>
      <color rgb="FF000000"/>
      <name val="Arial"/>
      <family val="2"/>
    </font>
    <font>
      <sz val="9"/>
      <color theme="1"/>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trike/>
      <sz val="11"/>
      <color theme="1"/>
      <name val="Calibri"/>
      <family val="2"/>
      <scheme val="minor"/>
    </font>
    <font>
      <b/>
      <sz val="11"/>
      <color rgb="FFFF0000"/>
      <name val="Calibri"/>
      <family val="2"/>
      <scheme val="minor"/>
    </font>
    <font>
      <sz val="8"/>
      <name val="Wingdings"/>
      <charset val="2"/>
    </font>
    <font>
      <sz val="11"/>
      <name val="Calibri Light"/>
      <family val="2"/>
      <scheme val="major"/>
    </font>
  </fonts>
  <fills count="11">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39994506668294322"/>
        <bgColor theme="8"/>
      </patternFill>
    </fill>
    <fill>
      <patternFill patternType="solid">
        <fgColor rgb="FFDBB7FF"/>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39997558519241921"/>
        <bgColor theme="8"/>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auto="1"/>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s>
  <cellStyleXfs count="49">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9" fontId="1" fillId="0" borderId="0" applyFont="0" applyFill="0" applyBorder="0" applyAlignment="0" applyProtection="0"/>
    <xf numFmtId="0" fontId="39" fillId="0" borderId="0"/>
    <xf numFmtId="0" fontId="39" fillId="0" borderId="0"/>
    <xf numFmtId="0" fontId="40" fillId="0" borderId="0"/>
    <xf numFmtId="0" fontId="41" fillId="0" borderId="0"/>
    <xf numFmtId="43" fontId="4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0" fontId="42" fillId="0" borderId="0"/>
    <xf numFmtId="0" fontId="39" fillId="0" borderId="0"/>
    <xf numFmtId="0" fontId="42" fillId="0" borderId="0"/>
    <xf numFmtId="0" fontId="39" fillId="0" borderId="0"/>
    <xf numFmtId="0" fontId="42" fillId="0" borderId="0"/>
    <xf numFmtId="0" fontId="42" fillId="0" borderId="0"/>
    <xf numFmtId="0" fontId="42" fillId="0" borderId="0"/>
    <xf numFmtId="0" fontId="42" fillId="0" borderId="0"/>
    <xf numFmtId="0" fontId="42" fillId="0" borderId="0"/>
    <xf numFmtId="0" fontId="42" fillId="0" borderId="0"/>
    <xf numFmtId="0" fontId="3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39" fillId="0" borderId="0"/>
    <xf numFmtId="0" fontId="42" fillId="0" borderId="0"/>
    <xf numFmtId="0" fontId="39" fillId="0" borderId="0"/>
    <xf numFmtId="0" fontId="42" fillId="0" borderId="0"/>
    <xf numFmtId="0" fontId="42" fillId="0" borderId="0"/>
    <xf numFmtId="0" fontId="39" fillId="0" borderId="0"/>
    <xf numFmtId="0" fontId="42" fillId="0" borderId="0"/>
    <xf numFmtId="9" fontId="1"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43" fontId="41" fillId="0" borderId="0" applyFont="0" applyFill="0" applyBorder="0" applyAlignment="0" applyProtection="0"/>
    <xf numFmtId="0" fontId="42" fillId="0" borderId="0"/>
    <xf numFmtId="0" fontId="39" fillId="0" borderId="0"/>
  </cellStyleXfs>
  <cellXfs count="238">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1"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1" fillId="0" borderId="0" xfId="0" applyFont="1" applyAlignment="1">
      <alignment vertical="top" wrapText="1"/>
    </xf>
    <xf numFmtId="14" fontId="11" fillId="0" borderId="0" xfId="0" applyNumberFormat="1" applyFont="1" applyAlignment="1">
      <alignment vertical="top" wrapText="1"/>
    </xf>
    <xf numFmtId="14" fontId="12" fillId="0" borderId="0" xfId="0" applyNumberFormat="1" applyFont="1" applyAlignment="1">
      <alignment horizontal="center" vertical="center" wrapText="1"/>
    </xf>
    <xf numFmtId="40" fontId="11" fillId="0" borderId="0" xfId="0" applyNumberFormat="1"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40" fontId="21" fillId="0" borderId="0" xfId="0" applyNumberFormat="1" applyFont="1" applyAlignment="1">
      <alignment vertical="top" wrapText="1"/>
    </xf>
    <xf numFmtId="14" fontId="11" fillId="0" borderId="0" xfId="0" applyNumberFormat="1" applyFont="1" applyAlignment="1">
      <alignment horizontal="left" vertical="center" wrapText="1"/>
    </xf>
    <xf numFmtId="0" fontId="11" fillId="0" borderId="0" xfId="0" applyFont="1" applyAlignment="1">
      <alignment horizontal="left" vertical="top" wrapText="1"/>
    </xf>
    <xf numFmtId="40" fontId="20" fillId="0" borderId="0" xfId="0" applyNumberFormat="1" applyFont="1" applyAlignment="1">
      <alignment horizontal="left" vertical="top" wrapText="1"/>
    </xf>
    <xf numFmtId="40" fontId="20" fillId="0" borderId="0" xfId="0" applyNumberFormat="1" applyFont="1" applyAlignment="1">
      <alignment horizontal="right" vertical="top" wrapText="1"/>
    </xf>
    <xf numFmtId="40" fontId="13" fillId="0" borderId="0" xfId="0" applyNumberFormat="1" applyFont="1" applyAlignment="1">
      <alignment vertical="top" wrapText="1"/>
    </xf>
    <xf numFmtId="40" fontId="15" fillId="0" borderId="0" xfId="0" applyNumberFormat="1" applyFont="1" applyAlignment="1">
      <alignment horizontal="center" vertical="center" wrapText="1"/>
    </xf>
    <xf numFmtId="40" fontId="14" fillId="0" borderId="0" xfId="0" applyNumberFormat="1" applyFont="1" applyAlignment="1">
      <alignment horizontal="center" vertical="center" wrapText="1"/>
    </xf>
    <xf numFmtId="0" fontId="17"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center" vertical="center" wrapText="1"/>
    </xf>
    <xf numFmtId="40" fontId="21" fillId="0" borderId="0" xfId="0" applyNumberFormat="1" applyFont="1"/>
    <xf numFmtId="40" fontId="21" fillId="0" borderId="0" xfId="0" applyNumberFormat="1" applyFont="1" applyAlignment="1">
      <alignment horizontal="center" vertical="center" wrapText="1"/>
    </xf>
    <xf numFmtId="40" fontId="17" fillId="0" borderId="0" xfId="0" applyNumberFormat="1" applyFont="1" applyAlignment="1">
      <alignment vertical="top" wrapText="1"/>
    </xf>
    <xf numFmtId="0" fontId="25" fillId="0" borderId="0" xfId="0" applyFont="1" applyAlignment="1">
      <alignment horizontal="left" vertical="top"/>
    </xf>
    <xf numFmtId="43" fontId="0" fillId="0" borderId="1" xfId="3" applyFont="1" applyBorder="1"/>
    <xf numFmtId="43" fontId="10" fillId="0" borderId="1" xfId="3" applyFont="1" applyBorder="1"/>
    <xf numFmtId="43" fontId="0" fillId="0" borderId="9" xfId="3" applyFont="1" applyBorder="1"/>
    <xf numFmtId="43" fontId="10" fillId="0" borderId="9" xfId="3" applyFont="1" applyBorder="1"/>
    <xf numFmtId="43" fontId="10" fillId="0" borderId="10" xfId="3" applyFont="1" applyBorder="1"/>
    <xf numFmtId="43" fontId="10" fillId="0" borderId="6" xfId="3" applyFont="1" applyBorder="1"/>
    <xf numFmtId="14" fontId="0" fillId="0" borderId="0" xfId="3" applyNumberFormat="1" applyFont="1" applyAlignment="1">
      <alignment horizontal="left" vertical="center" wrapText="1"/>
    </xf>
    <xf numFmtId="14" fontId="11" fillId="0" borderId="0" xfId="0" applyNumberFormat="1" applyFont="1" applyAlignment="1">
      <alignment vertical="center" wrapText="1"/>
    </xf>
    <xf numFmtId="43" fontId="10" fillId="0" borderId="0" xfId="3" applyFont="1" applyBorder="1"/>
    <xf numFmtId="43" fontId="10" fillId="0" borderId="0" xfId="3" applyFont="1"/>
    <xf numFmtId="43" fontId="0" fillId="0" borderId="8" xfId="3" applyFont="1" applyBorder="1"/>
    <xf numFmtId="43" fontId="0" fillId="0" borderId="5" xfId="3" applyFont="1" applyBorder="1"/>
    <xf numFmtId="40" fontId="24" fillId="0" borderId="0" xfId="0" applyNumberFormat="1" applyFont="1" applyAlignment="1">
      <alignment horizontal="left" vertical="top" wrapText="1"/>
    </xf>
    <xf numFmtId="40" fontId="23" fillId="0" borderId="1" xfId="0" applyNumberFormat="1" applyFont="1" applyBorder="1" applyAlignment="1">
      <alignment horizontal="right" vertical="top" wrapText="1"/>
    </xf>
    <xf numFmtId="14" fontId="17" fillId="0" borderId="0" xfId="0" applyNumberFormat="1" applyFont="1" applyAlignment="1">
      <alignment horizontal="center" vertical="center"/>
    </xf>
    <xf numFmtId="43" fontId="11" fillId="0" borderId="0" xfId="3" applyFont="1" applyAlignment="1">
      <alignment vertical="top" wrapText="1"/>
    </xf>
    <xf numFmtId="43" fontId="27" fillId="0" borderId="0" xfId="3" applyFont="1"/>
    <xf numFmtId="43" fontId="27" fillId="0" borderId="9" xfId="3" applyFont="1" applyBorder="1"/>
    <xf numFmtId="43" fontId="27" fillId="0" borderId="1" xfId="3" applyFont="1" applyBorder="1"/>
    <xf numFmtId="0" fontId="17" fillId="0" borderId="0" xfId="0" applyFont="1" applyAlignment="1">
      <alignment horizontal="center" vertical="center" wrapText="1"/>
    </xf>
    <xf numFmtId="0" fontId="11" fillId="0" borderId="0" xfId="0" applyFont="1" applyAlignment="1">
      <alignment horizontal="left" vertical="center"/>
    </xf>
    <xf numFmtId="14" fontId="19" fillId="0" borderId="0" xfId="0" applyNumberFormat="1" applyFont="1" applyAlignment="1">
      <alignment horizontal="right" vertical="top"/>
    </xf>
    <xf numFmtId="14" fontId="23" fillId="0" borderId="0" xfId="0" applyNumberFormat="1" applyFont="1" applyAlignment="1">
      <alignment horizontal="right" vertical="top"/>
    </xf>
    <xf numFmtId="40" fontId="17" fillId="0" borderId="1" xfId="0" applyNumberFormat="1" applyFont="1" applyBorder="1" applyAlignment="1">
      <alignment horizontal="right" vertical="top"/>
    </xf>
    <xf numFmtId="40" fontId="17" fillId="0" borderId="0" xfId="0" applyNumberFormat="1" applyFont="1" applyAlignment="1">
      <alignment vertical="top"/>
    </xf>
    <xf numFmtId="40" fontId="17" fillId="0" borderId="1" xfId="0" applyNumberFormat="1" applyFont="1" applyBorder="1" applyAlignment="1">
      <alignment vertical="top"/>
    </xf>
    <xf numFmtId="14" fontId="23" fillId="2" borderId="6" xfId="0" applyNumberFormat="1" applyFont="1" applyFill="1" applyBorder="1" applyAlignment="1">
      <alignment horizontal="center" vertical="center" wrapText="1"/>
    </xf>
    <xf numFmtId="43" fontId="28" fillId="0" borderId="0" xfId="3" applyFont="1"/>
    <xf numFmtId="43" fontId="28" fillId="0" borderId="10" xfId="3" applyFont="1" applyBorder="1"/>
    <xf numFmtId="43" fontId="28" fillId="0" borderId="13" xfId="3" applyFont="1" applyBorder="1"/>
    <xf numFmtId="43" fontId="28" fillId="0" borderId="6" xfId="3" applyFont="1" applyBorder="1"/>
    <xf numFmtId="43" fontId="28" fillId="0" borderId="14" xfId="3" applyFont="1" applyBorder="1"/>
    <xf numFmtId="43" fontId="29" fillId="0" borderId="0" xfId="3" applyFont="1"/>
    <xf numFmtId="43" fontId="29" fillId="0" borderId="10" xfId="3" applyFont="1" applyBorder="1"/>
    <xf numFmtId="43" fontId="29" fillId="0" borderId="6" xfId="3" applyFont="1" applyBorder="1"/>
    <xf numFmtId="43" fontId="29" fillId="0" borderId="13" xfId="3" applyFont="1" applyBorder="1"/>
    <xf numFmtId="43" fontId="29" fillId="0" borderId="14" xfId="3" applyFont="1" applyBorder="1"/>
    <xf numFmtId="43" fontId="0" fillId="0" borderId="10" xfId="3" applyFont="1" applyBorder="1"/>
    <xf numFmtId="43" fontId="0" fillId="0" borderId="13" xfId="3" applyFont="1" applyBorder="1"/>
    <xf numFmtId="43" fontId="0" fillId="0" borderId="6" xfId="3" applyFont="1" applyBorder="1"/>
    <xf numFmtId="43" fontId="0" fillId="0" borderId="14" xfId="3" applyFont="1" applyBorder="1"/>
    <xf numFmtId="43" fontId="30" fillId="0" borderId="0" xfId="3" applyFont="1"/>
    <xf numFmtId="0" fontId="17" fillId="0" borderId="0" xfId="0" applyFont="1" applyAlignment="1">
      <alignment horizontal="center" vertical="top" wrapText="1"/>
    </xf>
    <xf numFmtId="40" fontId="24" fillId="0" borderId="0" xfId="0" applyNumberFormat="1" applyFont="1" applyAlignment="1">
      <alignment horizontal="center" vertical="top" wrapText="1"/>
    </xf>
    <xf numFmtId="40" fontId="17" fillId="4" borderId="1" xfId="0" applyNumberFormat="1" applyFont="1" applyFill="1" applyBorder="1" applyAlignment="1">
      <alignment horizontal="right" vertical="top"/>
    </xf>
    <xf numFmtId="40" fontId="16" fillId="5" borderId="6" xfId="0" applyNumberFormat="1" applyFont="1" applyFill="1" applyBorder="1" applyAlignment="1">
      <alignment horizontal="center" vertical="center" wrapText="1"/>
    </xf>
    <xf numFmtId="43" fontId="31" fillId="0" borderId="0" xfId="3" applyFont="1" applyBorder="1"/>
    <xf numFmtId="43" fontId="31" fillId="0" borderId="0" xfId="3" applyFont="1"/>
    <xf numFmtId="164" fontId="24" fillId="0" borderId="0" xfId="0" applyNumberFormat="1" applyFont="1" applyAlignment="1">
      <alignment horizontal="center" vertical="top"/>
    </xf>
    <xf numFmtId="40" fontId="24" fillId="0" borderId="0" xfId="0" applyNumberFormat="1" applyFont="1" applyAlignment="1">
      <alignment vertical="top"/>
    </xf>
    <xf numFmtId="43" fontId="32" fillId="0" borderId="0" xfId="3" applyFont="1"/>
    <xf numFmtId="43" fontId="33" fillId="0" borderId="0" xfId="3" applyFont="1"/>
    <xf numFmtId="43" fontId="34" fillId="0" borderId="0" xfId="3" applyFont="1"/>
    <xf numFmtId="43" fontId="35" fillId="0" borderId="0" xfId="3" applyFont="1"/>
    <xf numFmtId="43" fontId="0" fillId="0" borderId="0" xfId="3" applyFont="1" applyFill="1"/>
    <xf numFmtId="43" fontId="10" fillId="0" borderId="0" xfId="3" applyFont="1" applyFill="1" applyBorder="1"/>
    <xf numFmtId="43" fontId="32" fillId="0" borderId="0" xfId="3" applyFont="1" applyFill="1"/>
    <xf numFmtId="43" fontId="33" fillId="0" borderId="0" xfId="3" applyFont="1" applyFill="1"/>
    <xf numFmtId="43" fontId="34" fillId="0" borderId="0" xfId="3" applyFont="1" applyFill="1"/>
    <xf numFmtId="43" fontId="31" fillId="0" borderId="0" xfId="3" applyFont="1" applyFill="1"/>
    <xf numFmtId="40" fontId="24" fillId="0" borderId="0" xfId="0" applyNumberFormat="1" applyFont="1" applyAlignment="1">
      <alignment vertical="top" wrapText="1"/>
    </xf>
    <xf numFmtId="43" fontId="36" fillId="0" borderId="0" xfId="3" applyFont="1"/>
    <xf numFmtId="9" fontId="0" fillId="0" borderId="0" xfId="4" applyFont="1"/>
    <xf numFmtId="14" fontId="16" fillId="0" borderId="7" xfId="1" applyNumberFormat="1" applyFont="1" applyBorder="1" applyAlignment="1">
      <alignment horizontal="center" vertical="center" wrapText="1"/>
    </xf>
    <xf numFmtId="14" fontId="16" fillId="0" borderId="16" xfId="1" applyNumberFormat="1" applyFont="1" applyBorder="1" applyAlignment="1">
      <alignment horizontal="center" vertical="center" wrapText="1"/>
    </xf>
    <xf numFmtId="40" fontId="16" fillId="0" borderId="7" xfId="1" applyNumberFormat="1" applyFont="1" applyBorder="1" applyAlignment="1">
      <alignment horizontal="center" vertical="center" wrapText="1"/>
    </xf>
    <xf numFmtId="14" fontId="17" fillId="4" borderId="7" xfId="0" applyNumberFormat="1" applyFont="1" applyFill="1" applyBorder="1" applyAlignment="1">
      <alignment horizontal="left" vertical="top" wrapText="1"/>
    </xf>
    <xf numFmtId="40" fontId="17" fillId="4" borderId="16" xfId="0" applyNumberFormat="1" applyFont="1" applyFill="1" applyBorder="1" applyAlignment="1">
      <alignment horizontal="right" vertical="top" wrapText="1"/>
    </xf>
    <xf numFmtId="40" fontId="17" fillId="4" borderId="7" xfId="0" applyNumberFormat="1" applyFont="1" applyFill="1" applyBorder="1" applyAlignment="1">
      <alignment horizontal="right" vertical="top" wrapText="1"/>
    </xf>
    <xf numFmtId="14" fontId="17" fillId="0" borderId="7" xfId="0" applyNumberFormat="1" applyFont="1" applyBorder="1" applyAlignment="1">
      <alignment horizontal="left" vertical="top" wrapText="1"/>
    </xf>
    <xf numFmtId="40" fontId="17" fillId="0" borderId="7" xfId="0" applyNumberFormat="1" applyFont="1" applyBorder="1" applyAlignment="1">
      <alignment horizontal="right" vertical="top" wrapText="1"/>
    </xf>
    <xf numFmtId="40" fontId="17" fillId="2" borderId="7" xfId="0" applyNumberFormat="1" applyFont="1" applyFill="1" applyBorder="1" applyAlignment="1">
      <alignment horizontal="right" vertical="top" wrapText="1"/>
    </xf>
    <xf numFmtId="40" fontId="17" fillId="4" borderId="7" xfId="0" applyNumberFormat="1" applyFont="1" applyFill="1" applyBorder="1" applyAlignment="1">
      <alignment vertical="top" wrapText="1"/>
    </xf>
    <xf numFmtId="14" fontId="23" fillId="4" borderId="2" xfId="0" applyNumberFormat="1" applyFont="1" applyFill="1" applyBorder="1" applyAlignment="1">
      <alignment horizontal="left" vertical="top" wrapText="1"/>
    </xf>
    <xf numFmtId="40" fontId="23" fillId="4" borderId="17" xfId="0" applyNumberFormat="1" applyFont="1" applyFill="1" applyBorder="1" applyAlignment="1">
      <alignment horizontal="right" vertical="top" wrapText="1"/>
    </xf>
    <xf numFmtId="40" fontId="23" fillId="4" borderId="2" xfId="0" applyNumberFormat="1" applyFont="1" applyFill="1" applyBorder="1" applyAlignment="1">
      <alignment horizontal="right" vertical="top" wrapText="1"/>
    </xf>
    <xf numFmtId="38" fontId="38" fillId="6" borderId="3" xfId="3" applyNumberFormat="1" applyFont="1" applyFill="1" applyBorder="1" applyAlignment="1">
      <alignment horizontal="center" vertical="center"/>
    </xf>
    <xf numFmtId="38" fontId="38" fillId="6" borderId="1" xfId="3" applyNumberFormat="1" applyFont="1" applyFill="1" applyBorder="1" applyAlignment="1">
      <alignment horizontal="center" vertical="center"/>
    </xf>
    <xf numFmtId="38" fontId="38" fillId="6" borderId="4" xfId="3" applyNumberFormat="1" applyFont="1" applyFill="1" applyBorder="1" applyAlignment="1">
      <alignment horizontal="center" vertical="center"/>
    </xf>
    <xf numFmtId="38" fontId="38" fillId="0" borderId="3" xfId="0" applyNumberFormat="1" applyFont="1" applyBorder="1" applyAlignment="1">
      <alignment vertical="top"/>
    </xf>
    <xf numFmtId="38" fontId="38" fillId="0" borderId="1" xfId="0" applyNumberFormat="1" applyFont="1" applyBorder="1" applyAlignment="1">
      <alignment vertical="top"/>
    </xf>
    <xf numFmtId="38" fontId="38" fillId="0" borderId="4" xfId="0" applyNumberFormat="1" applyFont="1" applyBorder="1" applyAlignment="1">
      <alignment vertical="top"/>
    </xf>
    <xf numFmtId="38" fontId="38" fillId="0" borderId="9" xfId="0" applyNumberFormat="1" applyFont="1" applyBorder="1" applyAlignment="1">
      <alignment horizontal="right" vertical="top"/>
    </xf>
    <xf numFmtId="38" fontId="38" fillId="0" borderId="23" xfId="0" applyNumberFormat="1" applyFont="1" applyBorder="1" applyAlignment="1">
      <alignment vertical="top"/>
    </xf>
    <xf numFmtId="38" fontId="38" fillId="0" borderId="26" xfId="0" applyNumberFormat="1" applyFont="1" applyBorder="1" applyAlignment="1">
      <alignment horizontal="center" vertical="center" wrapText="1"/>
    </xf>
    <xf numFmtId="38" fontId="38" fillId="7" borderId="15" xfId="0" applyNumberFormat="1" applyFont="1" applyFill="1" applyBorder="1" applyAlignment="1">
      <alignment horizontal="center" vertical="center" wrapText="1"/>
    </xf>
    <xf numFmtId="0" fontId="38" fillId="0" borderId="1" xfId="0" applyFont="1" applyBorder="1" applyAlignment="1">
      <alignment vertical="top" wrapText="1"/>
    </xf>
    <xf numFmtId="38" fontId="37" fillId="0" borderId="1" xfId="0" applyNumberFormat="1" applyFont="1" applyBorder="1" applyAlignment="1">
      <alignment horizontal="right" vertical="center"/>
    </xf>
    <xf numFmtId="40" fontId="16" fillId="0" borderId="27" xfId="1" applyNumberFormat="1" applyFont="1" applyBorder="1" applyAlignment="1">
      <alignment horizontal="center" vertical="center" wrapText="1"/>
    </xf>
    <xf numFmtId="40" fontId="17" fillId="0" borderId="27" xfId="0" applyNumberFormat="1" applyFont="1" applyBorder="1" applyAlignment="1">
      <alignment horizontal="right" vertical="top" wrapText="1"/>
    </xf>
    <xf numFmtId="40" fontId="17" fillId="4" borderId="27" xfId="0" applyNumberFormat="1" applyFont="1" applyFill="1" applyBorder="1" applyAlignment="1">
      <alignment vertical="top" wrapText="1"/>
    </xf>
    <xf numFmtId="40" fontId="17" fillId="0" borderId="27" xfId="0" applyNumberFormat="1" applyFont="1" applyBorder="1" applyAlignment="1">
      <alignment vertical="top" wrapText="1"/>
    </xf>
    <xf numFmtId="40" fontId="23" fillId="4" borderId="3" xfId="0" applyNumberFormat="1" applyFont="1" applyFill="1" applyBorder="1" applyAlignment="1">
      <alignment horizontal="right" vertical="top" wrapText="1"/>
    </xf>
    <xf numFmtId="38" fontId="0" fillId="0" borderId="0" xfId="0" applyNumberFormat="1"/>
    <xf numFmtId="38" fontId="38" fillId="0" borderId="4" xfId="0" applyNumberFormat="1" applyFont="1" applyBorder="1" applyAlignment="1">
      <alignment horizontal="right" vertical="top"/>
    </xf>
    <xf numFmtId="14" fontId="23" fillId="0" borderId="1" xfId="0" applyNumberFormat="1" applyFont="1" applyBorder="1" applyAlignment="1">
      <alignment horizontal="center" vertical="center"/>
    </xf>
    <xf numFmtId="40" fontId="23" fillId="0" borderId="1" xfId="0" applyNumberFormat="1" applyFont="1" applyBorder="1" applyAlignment="1">
      <alignment horizontal="center" vertical="center" wrapText="1"/>
    </xf>
    <xf numFmtId="40" fontId="23" fillId="0" borderId="1" xfId="0" applyNumberFormat="1" applyFont="1" applyBorder="1" applyAlignment="1">
      <alignment horizontal="center" vertical="center"/>
    </xf>
    <xf numFmtId="40" fontId="43" fillId="0" borderId="0" xfId="0" applyNumberFormat="1" applyFont="1" applyAlignment="1">
      <alignment horizontal="center"/>
    </xf>
    <xf numFmtId="165" fontId="43" fillId="0" borderId="0" xfId="0" applyNumberFormat="1" applyFont="1" applyAlignment="1">
      <alignment horizontal="center" vertical="center"/>
    </xf>
    <xf numFmtId="43" fontId="44" fillId="0" borderId="0" xfId="3" applyFont="1" applyBorder="1"/>
    <xf numFmtId="43" fontId="44" fillId="0" borderId="0" xfId="3" applyFont="1"/>
    <xf numFmtId="40" fontId="43" fillId="0" borderId="0" xfId="0" applyNumberFormat="1" applyFont="1" applyAlignment="1">
      <alignment horizontal="center" vertical="center" wrapText="1"/>
    </xf>
    <xf numFmtId="166" fontId="24" fillId="0" borderId="0" xfId="0" applyNumberFormat="1" applyFont="1" applyAlignment="1">
      <alignment horizontal="center" vertical="top" wrapText="1"/>
    </xf>
    <xf numFmtId="38" fontId="38" fillId="0" borderId="9" xfId="0" applyNumberFormat="1" applyFont="1" applyBorder="1" applyAlignment="1">
      <alignment vertical="top"/>
    </xf>
    <xf numFmtId="38" fontId="17" fillId="2" borderId="1" xfId="0" applyNumberFormat="1" applyFont="1" applyFill="1" applyBorder="1" applyAlignment="1">
      <alignment vertical="top" wrapText="1"/>
    </xf>
    <xf numFmtId="165" fontId="17" fillId="0" borderId="0" xfId="0" applyNumberFormat="1" applyFont="1" applyAlignment="1">
      <alignment horizontal="center" vertical="center" wrapText="1"/>
    </xf>
    <xf numFmtId="40" fontId="23" fillId="0" borderId="1" xfId="0" applyNumberFormat="1" applyFont="1" applyBorder="1" applyAlignment="1">
      <alignment horizontal="right" vertical="center" wrapText="1"/>
    </xf>
    <xf numFmtId="40" fontId="17" fillId="0" borderId="1" xfId="0" applyNumberFormat="1" applyFont="1" applyBorder="1" applyAlignment="1">
      <alignment horizontal="right" vertical="top" wrapText="1"/>
    </xf>
    <xf numFmtId="0" fontId="38" fillId="0" borderId="2" xfId="0" applyFont="1" applyBorder="1" applyAlignment="1">
      <alignment vertical="top" wrapText="1"/>
    </xf>
    <xf numFmtId="40" fontId="17" fillId="0" borderId="0" xfId="0" applyNumberFormat="1" applyFont="1" applyAlignment="1">
      <alignment horizontal="center" vertical="center" wrapText="1"/>
    </xf>
    <xf numFmtId="40" fontId="17" fillId="0" borderId="0" xfId="0" applyNumberFormat="1" applyFont="1" applyAlignment="1">
      <alignment horizontal="center" vertical="center"/>
    </xf>
    <xf numFmtId="14" fontId="17" fillId="0" borderId="0" xfId="0" applyNumberFormat="1" applyFont="1" applyAlignment="1">
      <alignment horizontal="center" vertical="center" wrapText="1"/>
    </xf>
    <xf numFmtId="38" fontId="38" fillId="0" borderId="3" xfId="0" applyNumberFormat="1" applyFont="1" applyBorder="1" applyAlignment="1">
      <alignment horizontal="right" vertical="top"/>
    </xf>
    <xf numFmtId="40" fontId="23" fillId="8" borderId="1" xfId="0" applyNumberFormat="1" applyFont="1" applyFill="1" applyBorder="1" applyAlignment="1">
      <alignment horizontal="center" vertical="center" wrapText="1"/>
    </xf>
    <xf numFmtId="38" fontId="37" fillId="0" borderId="2" xfId="0" applyNumberFormat="1" applyFont="1" applyBorder="1" applyAlignment="1">
      <alignment horizontal="right" vertical="top" wrapText="1"/>
    </xf>
    <xf numFmtId="40" fontId="17" fillId="0" borderId="1" xfId="0" applyNumberFormat="1" applyFont="1" applyBorder="1" applyAlignment="1">
      <alignment vertical="top" wrapText="1"/>
    </xf>
    <xf numFmtId="40" fontId="17" fillId="0" borderId="0" xfId="0" applyNumberFormat="1" applyFont="1" applyAlignment="1">
      <alignment horizontal="right"/>
    </xf>
    <xf numFmtId="40" fontId="20" fillId="0" borderId="28" xfId="0" applyNumberFormat="1" applyFont="1" applyBorder="1" applyAlignment="1">
      <alignment vertical="top" wrapText="1"/>
    </xf>
    <xf numFmtId="40" fontId="20" fillId="0" borderId="0" xfId="0" applyNumberFormat="1" applyFont="1" applyAlignment="1">
      <alignment vertical="top" wrapText="1"/>
    </xf>
    <xf numFmtId="40" fontId="16" fillId="9" borderId="6" xfId="0" applyNumberFormat="1" applyFont="1" applyFill="1" applyBorder="1" applyAlignment="1">
      <alignment horizontal="center" vertical="center" wrapText="1"/>
    </xf>
    <xf numFmtId="40" fontId="17" fillId="8" borderId="1" xfId="0" applyNumberFormat="1" applyFont="1" applyFill="1" applyBorder="1" applyAlignment="1">
      <alignment horizontal="right" vertical="top"/>
    </xf>
    <xf numFmtId="40" fontId="17" fillId="2" borderId="1" xfId="0" applyNumberFormat="1" applyFont="1" applyFill="1" applyBorder="1" applyAlignment="1">
      <alignment vertical="top" wrapText="1"/>
    </xf>
    <xf numFmtId="4" fontId="11" fillId="0" borderId="0" xfId="0" applyNumberFormat="1" applyFont="1" applyAlignment="1">
      <alignment vertical="top" wrapText="1"/>
    </xf>
    <xf numFmtId="40" fontId="20" fillId="0" borderId="11" xfId="0" applyNumberFormat="1" applyFont="1" applyBorder="1" applyAlignment="1">
      <alignment vertical="top" wrapText="1"/>
    </xf>
    <xf numFmtId="43" fontId="45" fillId="0" borderId="0" xfId="3" applyFont="1"/>
    <xf numFmtId="40" fontId="17" fillId="0" borderId="7" xfId="0" applyNumberFormat="1" applyFont="1" applyBorder="1" applyAlignment="1">
      <alignment vertical="top" wrapText="1"/>
    </xf>
    <xf numFmtId="40" fontId="17" fillId="0" borderId="3" xfId="0" applyNumberFormat="1" applyFont="1" applyBorder="1" applyAlignment="1">
      <alignment vertical="top" wrapText="1"/>
    </xf>
    <xf numFmtId="40" fontId="17" fillId="0" borderId="1" xfId="0" applyNumberFormat="1" applyFont="1" applyBorder="1" applyAlignment="1">
      <alignment wrapText="1"/>
    </xf>
    <xf numFmtId="40" fontId="17" fillId="0" borderId="1" xfId="0" applyNumberFormat="1" applyFont="1" applyBorder="1" applyAlignment="1">
      <alignment vertical="center" wrapText="1"/>
    </xf>
    <xf numFmtId="14" fontId="23" fillId="0" borderId="1" xfId="0" applyNumberFormat="1" applyFont="1" applyBorder="1" applyAlignment="1">
      <alignment horizontal="right" vertical="top" wrapText="1"/>
    </xf>
    <xf numFmtId="8" fontId="0" fillId="0" borderId="0" xfId="0" applyNumberFormat="1"/>
    <xf numFmtId="0" fontId="11" fillId="2" borderId="0" xfId="0" applyFont="1" applyFill="1" applyAlignment="1">
      <alignment vertical="top" wrapText="1"/>
    </xf>
    <xf numFmtId="40" fontId="17" fillId="8" borderId="7" xfId="0" applyNumberFormat="1" applyFont="1" applyFill="1" applyBorder="1" applyAlignment="1">
      <alignment horizontal="right" vertical="top" wrapText="1"/>
    </xf>
    <xf numFmtId="40" fontId="17" fillId="8" borderId="27" xfId="0" applyNumberFormat="1" applyFont="1" applyFill="1" applyBorder="1" applyAlignment="1">
      <alignment horizontal="right" vertical="top" wrapText="1"/>
    </xf>
    <xf numFmtId="40" fontId="17" fillId="0" borderId="0" xfId="0" applyNumberFormat="1" applyFont="1" applyAlignment="1">
      <alignment horizontal="center"/>
    </xf>
    <xf numFmtId="40" fontId="17" fillId="0" borderId="9" xfId="0" applyNumberFormat="1" applyFont="1" applyBorder="1" applyAlignment="1">
      <alignment vertical="top" wrapText="1"/>
    </xf>
    <xf numFmtId="40" fontId="17" fillId="0" borderId="6" xfId="0" applyNumberFormat="1" applyFont="1" applyBorder="1" applyAlignment="1">
      <alignment wrapText="1"/>
    </xf>
    <xf numFmtId="164" fontId="24" fillId="0" borderId="0" xfId="0" applyNumberFormat="1" applyFont="1" applyAlignment="1">
      <alignment horizontal="center" vertical="top" wrapText="1"/>
    </xf>
    <xf numFmtId="43" fontId="1" fillId="0" borderId="0" xfId="3" applyFont="1" applyBorder="1"/>
    <xf numFmtId="43" fontId="46" fillId="0" borderId="0" xfId="3" applyFont="1"/>
    <xf numFmtId="8" fontId="17" fillId="0" borderId="0" xfId="0" applyNumberFormat="1" applyFont="1" applyAlignment="1">
      <alignment vertical="top" wrapText="1"/>
    </xf>
    <xf numFmtId="8" fontId="11" fillId="0" borderId="0" xfId="0" applyNumberFormat="1" applyFont="1" applyAlignment="1">
      <alignment vertical="top" wrapText="1"/>
    </xf>
    <xf numFmtId="38" fontId="38" fillId="10" borderId="3" xfId="0" applyNumberFormat="1" applyFont="1" applyFill="1" applyBorder="1" applyAlignment="1">
      <alignment vertical="top"/>
    </xf>
    <xf numFmtId="43" fontId="47" fillId="0" borderId="0" xfId="3" applyFont="1"/>
    <xf numFmtId="0" fontId="48" fillId="0" borderId="0" xfId="0" applyFont="1" applyAlignment="1">
      <alignment vertical="top"/>
    </xf>
    <xf numFmtId="0" fontId="0" fillId="0" borderId="0" xfId="0" applyAlignment="1">
      <alignment horizontal="left" vertical="top"/>
    </xf>
    <xf numFmtId="164" fontId="24" fillId="0" borderId="0" xfId="0" applyNumberFormat="1" applyFont="1" applyAlignment="1">
      <alignment horizontal="center" wrapText="1"/>
    </xf>
    <xf numFmtId="164" fontId="24" fillId="0" borderId="0" xfId="0" applyNumberFormat="1" applyFont="1" applyAlignment="1">
      <alignment horizontal="center"/>
    </xf>
    <xf numFmtId="40" fontId="24" fillId="0" borderId="0" xfId="0" applyNumberFormat="1" applyFont="1"/>
    <xf numFmtId="40" fontId="17" fillId="0" borderId="0" xfId="0" applyNumberFormat="1" applyFont="1"/>
    <xf numFmtId="40" fontId="43" fillId="0" borderId="0" xfId="0" applyNumberFormat="1" applyFont="1" applyAlignment="1">
      <alignment wrapText="1"/>
    </xf>
    <xf numFmtId="40" fontId="17" fillId="0" borderId="0" xfId="0" applyNumberFormat="1" applyFont="1" applyAlignment="1">
      <alignment wrapText="1"/>
    </xf>
    <xf numFmtId="43" fontId="49" fillId="0" borderId="0" xfId="3" applyFont="1"/>
    <xf numFmtId="0" fontId="17" fillId="0" borderId="0" xfId="0" applyFont="1" applyAlignment="1">
      <alignment horizontal="left" vertical="top" indent="1"/>
    </xf>
    <xf numFmtId="0" fontId="17" fillId="0" borderId="0" xfId="0" applyFont="1" applyAlignment="1">
      <alignment horizontal="left" vertical="top" indent="3"/>
    </xf>
    <xf numFmtId="43" fontId="50" fillId="0" borderId="0" xfId="3" applyFont="1"/>
    <xf numFmtId="43" fontId="51" fillId="0" borderId="0" xfId="3" applyFont="1"/>
    <xf numFmtId="40" fontId="17" fillId="0" borderId="14" xfId="0" applyNumberFormat="1" applyFont="1" applyBorder="1" applyAlignment="1">
      <alignment wrapText="1"/>
    </xf>
    <xf numFmtId="43" fontId="52" fillId="0" borderId="0" xfId="3" applyFont="1"/>
    <xf numFmtId="14" fontId="13" fillId="0" borderId="7" xfId="0" applyNumberFormat="1" applyFont="1" applyBorder="1" applyAlignment="1">
      <alignment horizontal="center" vertical="top" wrapText="1"/>
    </xf>
    <xf numFmtId="14" fontId="13" fillId="0" borderId="12" xfId="0" applyNumberFormat="1" applyFont="1" applyBorder="1" applyAlignment="1">
      <alignment horizontal="center" vertical="top" wrapText="1"/>
    </xf>
    <xf numFmtId="14" fontId="13" fillId="0" borderId="10" xfId="0" applyNumberFormat="1" applyFont="1" applyBorder="1" applyAlignment="1">
      <alignment horizontal="center" vertical="top" wrapText="1"/>
    </xf>
    <xf numFmtId="0" fontId="11" fillId="0" borderId="0" xfId="0" applyFont="1" applyAlignment="1">
      <alignment horizontal="left" vertical="top" wrapText="1"/>
    </xf>
    <xf numFmtId="40" fontId="26" fillId="5" borderId="11" xfId="1" applyNumberFormat="1" applyFont="1" applyFill="1" applyBorder="1" applyAlignment="1">
      <alignment horizontal="center" vertical="center" wrapText="1"/>
    </xf>
    <xf numFmtId="40" fontId="13" fillId="0" borderId="0" xfId="0" applyNumberFormat="1" applyFont="1" applyAlignment="1">
      <alignment horizontal="center" vertical="center" wrapText="1"/>
    </xf>
    <xf numFmtId="40" fontId="20" fillId="0" borderId="11" xfId="0" applyNumberFormat="1" applyFont="1" applyBorder="1" applyAlignment="1">
      <alignment horizontal="center" vertical="top" wrapText="1"/>
    </xf>
    <xf numFmtId="0" fontId="25" fillId="0" borderId="0" xfId="0" applyFont="1" applyAlignment="1">
      <alignment horizontal="left" vertical="top" wrapText="1"/>
    </xf>
    <xf numFmtId="0" fontId="5" fillId="0" borderId="0" xfId="0" applyFont="1" applyAlignment="1">
      <alignment horizontal="left" vertical="top" wrapText="1"/>
    </xf>
    <xf numFmtId="0" fontId="13" fillId="0" borderId="0" xfId="0" applyFont="1" applyAlignment="1">
      <alignment horizontal="left"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3" fillId="0" borderId="0" xfId="3" applyFont="1" applyAlignment="1">
      <alignment horizontal="left" vertical="top" wrapText="1"/>
    </xf>
    <xf numFmtId="43" fontId="4" fillId="0" borderId="0" xfId="3" applyFont="1" applyBorder="1" applyAlignment="1">
      <alignment horizontal="left" vertical="top" wrapText="1"/>
    </xf>
    <xf numFmtId="0" fontId="0" fillId="2" borderId="0" xfId="0" applyFill="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xf>
    <xf numFmtId="0" fontId="53" fillId="0" borderId="0" xfId="0" applyFont="1" applyAlignment="1">
      <alignment horizontal="left" vertical="top" wrapText="1"/>
    </xf>
    <xf numFmtId="0" fontId="0" fillId="3" borderId="0" xfId="0" applyFill="1" applyAlignment="1">
      <alignment horizontal="left" vertical="top" wrapText="1"/>
    </xf>
    <xf numFmtId="0" fontId="2" fillId="0" borderId="0" xfId="0" applyFont="1" applyAlignment="1">
      <alignment horizontal="center" vertical="top" wrapText="1"/>
    </xf>
    <xf numFmtId="0" fontId="0" fillId="0" borderId="0" xfId="0" applyAlignment="1">
      <alignment horizontal="left" vertical="top"/>
    </xf>
    <xf numFmtId="0" fontId="2" fillId="0" borderId="0" xfId="0" applyFont="1" applyAlignment="1">
      <alignment horizontal="left" vertical="top" wrapText="1"/>
    </xf>
    <xf numFmtId="0" fontId="54" fillId="2" borderId="0" xfId="0" applyFont="1" applyFill="1" applyAlignment="1">
      <alignment horizontal="left" vertical="top" wrapText="1"/>
    </xf>
    <xf numFmtId="38" fontId="37" fillId="6" borderId="18" xfId="0" applyNumberFormat="1" applyFont="1" applyFill="1" applyBorder="1" applyAlignment="1">
      <alignment horizontal="center" vertical="center"/>
    </xf>
    <xf numFmtId="38" fontId="37" fillId="6" borderId="19" xfId="0" applyNumberFormat="1" applyFont="1" applyFill="1" applyBorder="1" applyAlignment="1">
      <alignment horizontal="center" vertical="center"/>
    </xf>
    <xf numFmtId="38" fontId="37" fillId="6" borderId="20" xfId="0" applyNumberFormat="1" applyFont="1" applyFill="1" applyBorder="1" applyAlignment="1">
      <alignment horizontal="center" vertical="center"/>
    </xf>
    <xf numFmtId="38" fontId="37" fillId="6" borderId="21" xfId="0" applyNumberFormat="1" applyFont="1" applyFill="1" applyBorder="1" applyAlignment="1">
      <alignment horizontal="center" vertical="top"/>
    </xf>
    <xf numFmtId="38" fontId="37" fillId="6" borderId="22" xfId="0" applyNumberFormat="1" applyFont="1" applyFill="1" applyBorder="1" applyAlignment="1">
      <alignment horizontal="center" vertical="top"/>
    </xf>
    <xf numFmtId="38" fontId="38" fillId="0" borderId="24" xfId="0" applyNumberFormat="1" applyFont="1" applyBorder="1" applyAlignment="1">
      <alignment horizontal="left" vertical="center" wrapText="1"/>
    </xf>
    <xf numFmtId="38" fontId="38" fillId="0" borderId="25" xfId="0" applyNumberFormat="1" applyFont="1" applyBorder="1" applyAlignment="1">
      <alignment horizontal="left" vertical="center" wrapText="1"/>
    </xf>
  </cellXfs>
  <cellStyles count="49">
    <cellStyle name="Comma" xfId="3" builtinId="3"/>
    <cellStyle name="Comma 2" xfId="9" xr:uid="{00000000-0005-0000-0000-000001000000}"/>
    <cellStyle name="Comma 2 2" xfId="46" xr:uid="{00000000-0005-0000-0000-000002000000}"/>
    <cellStyle name="Comma 2 3" xfId="45" xr:uid="{00000000-0005-0000-0000-000003000000}"/>
    <cellStyle name="Comma 3" xfId="10" xr:uid="{00000000-0005-0000-0000-000004000000}"/>
    <cellStyle name="Currency" xfId="1" builtinId="4"/>
    <cellStyle name="Currency 2" xfId="11" xr:uid="{00000000-0005-0000-0000-000006000000}"/>
    <cellStyle name="Currency 3" xfId="12" xr:uid="{00000000-0005-0000-0000-000007000000}"/>
    <cellStyle name="Normal" xfId="0" builtinId="0"/>
    <cellStyle name="Normal 10" xfId="13" xr:uid="{00000000-0005-0000-0000-000009000000}"/>
    <cellStyle name="Normal 11" xfId="14" xr:uid="{00000000-0005-0000-0000-00000A000000}"/>
    <cellStyle name="Normal 12" xfId="15" xr:uid="{00000000-0005-0000-0000-00000B000000}"/>
    <cellStyle name="Normal 13" xfId="16" xr:uid="{00000000-0005-0000-0000-00000C000000}"/>
    <cellStyle name="Normal 14" xfId="17" xr:uid="{00000000-0005-0000-0000-00000D000000}"/>
    <cellStyle name="Normal 15" xfId="18" xr:uid="{00000000-0005-0000-0000-00000E000000}"/>
    <cellStyle name="Normal 16" xfId="19" xr:uid="{00000000-0005-0000-0000-00000F000000}"/>
    <cellStyle name="Normal 17" xfId="20" xr:uid="{00000000-0005-0000-0000-000010000000}"/>
    <cellStyle name="Normal 18" xfId="21" xr:uid="{00000000-0005-0000-0000-000011000000}"/>
    <cellStyle name="Normal 19" xfId="22" xr:uid="{00000000-0005-0000-0000-000012000000}"/>
    <cellStyle name="Normal 2" xfId="6" xr:uid="{00000000-0005-0000-0000-000013000000}"/>
    <cellStyle name="Normal 2 2" xfId="8" xr:uid="{00000000-0005-0000-0000-000014000000}"/>
    <cellStyle name="Normal 2 3" xfId="7" xr:uid="{00000000-0005-0000-0000-000015000000}"/>
    <cellStyle name="Normal 2 4" xfId="48" xr:uid="{00000000-0005-0000-0000-000016000000}"/>
    <cellStyle name="Normal 20" xfId="23" xr:uid="{00000000-0005-0000-0000-000017000000}"/>
    <cellStyle name="Normal 21" xfId="24" xr:uid="{00000000-0005-0000-0000-000018000000}"/>
    <cellStyle name="Normal 22" xfId="25" xr:uid="{00000000-0005-0000-0000-000019000000}"/>
    <cellStyle name="Normal 23" xfId="26" xr:uid="{00000000-0005-0000-0000-00001A000000}"/>
    <cellStyle name="Normal 24" xfId="27" xr:uid="{00000000-0005-0000-0000-00001B000000}"/>
    <cellStyle name="Normal 25" xfId="28" xr:uid="{00000000-0005-0000-0000-00001C000000}"/>
    <cellStyle name="Normal 26" xfId="29" xr:uid="{00000000-0005-0000-0000-00001D000000}"/>
    <cellStyle name="Normal 27" xfId="30" xr:uid="{00000000-0005-0000-0000-00001E000000}"/>
    <cellStyle name="Normal 28" xfId="31" xr:uid="{00000000-0005-0000-0000-00001F000000}"/>
    <cellStyle name="Normal 29" xfId="32" xr:uid="{00000000-0005-0000-0000-000020000000}"/>
    <cellStyle name="Normal 3" xfId="33" xr:uid="{00000000-0005-0000-0000-000021000000}"/>
    <cellStyle name="Normal 3 2" xfId="34" xr:uid="{00000000-0005-0000-0000-000022000000}"/>
    <cellStyle name="Normal 4" xfId="5" xr:uid="{00000000-0005-0000-0000-000023000000}"/>
    <cellStyle name="Normal 4 2" xfId="36" xr:uid="{00000000-0005-0000-0000-000024000000}"/>
    <cellStyle name="Normal 4 3" xfId="35" xr:uid="{00000000-0005-0000-0000-000025000000}"/>
    <cellStyle name="Normal 5" xfId="37" xr:uid="{00000000-0005-0000-0000-000026000000}"/>
    <cellStyle name="Normal 5 2" xfId="38" xr:uid="{00000000-0005-0000-0000-000027000000}"/>
    <cellStyle name="Normal 5 3" xfId="47" xr:uid="{00000000-0005-0000-0000-000028000000}"/>
    <cellStyle name="Normal 6" xfId="39" xr:uid="{00000000-0005-0000-0000-000029000000}"/>
    <cellStyle name="Normal 7" xfId="40" xr:uid="{00000000-0005-0000-0000-00002A000000}"/>
    <cellStyle name="Normal 8" xfId="41" xr:uid="{00000000-0005-0000-0000-00002B000000}"/>
    <cellStyle name="Normal 9" xfId="42" xr:uid="{00000000-0005-0000-0000-00002C000000}"/>
    <cellStyle name="Normal_Notes" xfId="2" xr:uid="{00000000-0005-0000-0000-00002D000000}"/>
    <cellStyle name="Percent" xfId="4" builtinId="5"/>
    <cellStyle name="Percent 2" xfId="43" xr:uid="{00000000-0005-0000-0000-00002F000000}"/>
    <cellStyle name="Percent 3" xfId="44" xr:uid="{00000000-0005-0000-0000-000030000000}"/>
  </cellStyles>
  <dxfs count="123">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6" formatCode="m/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bottom"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6" formatCode="m/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5" formatCode="mm/dd/yyyy"/>
      <alignment horizontal="center" vertical="center" textRotation="0" wrapText="0" indent="0" justifyLastLine="0" shrinkToFit="0" readingOrder="0"/>
    </dxf>
    <dxf>
      <fill>
        <patternFill>
          <bgColor theme="4" tint="0.39994506668294322"/>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122"/>
      <tableStyleElement type="firstRowStripe" dxfId="121"/>
    </tableStyle>
    <tableStyle name="Table Style 2" pivot="0" count="1" xr9:uid="{00000000-0011-0000-FFFF-FFFF01000000}">
      <tableStyleElement type="firstRowStripe" dxfId="120"/>
    </tableStyle>
    <tableStyle name="Table Style 3" pivot="0" count="1" xr9:uid="{00000000-0011-0000-FFFF-FFFF02000000}">
      <tableStyleElement type="firstRowStripe" dxfId="119"/>
    </tableStyle>
    <tableStyle name="Table Style 4" pivot="0" count="3" xr9:uid="{00000000-0011-0000-FFFF-FFFF03000000}">
      <tableStyleElement type="wholeTable" dxfId="118"/>
      <tableStyleElement type="headerRow" dxfId="117"/>
      <tableStyleElement type="firstRowStripe" dxfId="116"/>
    </tableStyle>
  </tableStyles>
  <colors>
    <mruColors>
      <color rgb="FFCC99FF"/>
      <color rgb="FF9999FF"/>
      <color rgb="FFFABF8F"/>
      <color rgb="FFF2DCDB"/>
      <color rgb="FFACEAAC"/>
      <color rgb="FFC9FFF5"/>
      <color rgb="FFFFCCFF"/>
      <color rgb="FFDDD9C4"/>
      <color rgb="FFA2B9E2"/>
      <color rgb="FFF4A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127806</xdr:colOff>
      <xdr:row>0</xdr:row>
      <xdr:rowOff>148167</xdr:rowOff>
    </xdr:from>
    <xdr:ext cx="184730" cy="1782924"/>
    <xdr:sp macro="" textlink="">
      <xdr:nvSpPr>
        <xdr:cNvPr id="2" name="Rectangle 1">
          <a:extLst>
            <a:ext uri="{FF2B5EF4-FFF2-40B4-BE49-F238E27FC236}">
              <a16:creationId xmlns:a16="http://schemas.microsoft.com/office/drawing/2014/main" id="{00000000-0008-0000-0000-000002000000}"/>
            </a:ext>
          </a:extLst>
        </xdr:cNvPr>
        <xdr:cNvSpPr/>
      </xdr:nvSpPr>
      <xdr:spPr>
        <a:xfrm>
          <a:off x="6096806" y="148167"/>
          <a:ext cx="184730" cy="1782924"/>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solidFill>
              <a:srgbClr val="FF0000"/>
            </a:solidFill>
            <a:effectLst>
              <a:outerShdw blurRad="50800" dist="39000" dir="5460000" algn="tl">
                <a:srgbClr val="000000">
                  <a:alpha val="38000"/>
                </a:srgbClr>
              </a:outerShdw>
            </a:effectLst>
          </a:endParaRPr>
        </a:p>
        <a:p>
          <a:pPr algn="ctr"/>
          <a:endParaRPr lang="en-US" sz="5400" b="1" cap="none" spc="0">
            <a:ln w="11430"/>
            <a:solidFill>
              <a:srgbClr val="FF0000"/>
            </a:solidFill>
            <a:effectLst>
              <a:outerShdw blurRad="50800" dist="39000" dir="5460000" algn="tl">
                <a:srgbClr val="000000">
                  <a:alpha val="38000"/>
                </a:srgbClr>
              </a:outerShdw>
            </a:effectLst>
          </a:endParaRP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6" unboundColumnsRight="2">
    <queryTableFields count="25">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PL" tableColumnId="15"/>
      <queryTableField id="16" name="PL-SATO" tableColumnId="16"/>
      <queryTableField id="17" name="SPR" tableColumnId="17"/>
      <queryTableField id="18" name="STP &lt;5" tableColumnId="18"/>
      <queryTableField id="19" name="STP 5-200" tableColumnId="19"/>
      <queryTableField id="20" name="STP 5-50" tableColumnId="20"/>
      <queryTableField id="21" name="STP 50-200" tableColumnId="21"/>
      <queryTableField id="22" name="CRP 50-200" tableColumnId="22"/>
      <queryTableField id="23" name="STP other" tableColumnId="23"/>
      <queryTableField id="25" dataBound="0" tableColumnId="24"/>
      <queryTableField id="24" dataBound="0" tableColumnId="2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6" unboundColumnsRight="2">
    <queryTableFields count="25">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PL" tableColumnId="15"/>
      <queryTableField id="16" name="PL-SATO" tableColumnId="16"/>
      <queryTableField id="17" name="SPR" tableColumnId="17"/>
      <queryTableField id="18" name="STP &lt;5" tableColumnId="18"/>
      <queryTableField id="19" name="STP 5-200" tableColumnId="19"/>
      <queryTableField id="20" name="STP 5-50" tableColumnId="20"/>
      <queryTableField id="21" name="STP 50-200" tableColumnId="21"/>
      <queryTableField id="22" name="CRP 50-200" tableColumnId="22"/>
      <queryTableField id="23" name="STP OTHER" tableColumnId="23"/>
      <queryTableField id="25" dataBound="0" tableColumnId="24"/>
      <queryTableField id="24" dataBound="0" tableColumnId="2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2" xr16:uid="{00000000-0016-0000-0100-000002000000}" autoFormatId="16" applyNumberFormats="0" applyBorderFormats="0" applyFontFormats="0" applyPatternFormats="0" applyAlignmentFormats="0" applyWidthHeightFormats="0">
  <queryTableRefresh preserveSortFilterLayout="0" nextId="28">
    <queryTableFields count="27">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CMAQ" tableColumnId="10"/>
      <queryTableField id="11" name="CMAQ 25" tableColumnId="11"/>
      <queryTableField id="12" name="HURF Exchange" tableColumnId="12"/>
      <queryTableField id="13" name="HSIP" tableColumnId="13"/>
      <queryTableField id="14" name="PLAN" tableColumnId="14"/>
      <queryTableField id="15" name="PLAN SATO" tableColumnId="15"/>
      <queryTableField id="16" name="SPR" tableColumnId="16"/>
      <queryTableField id="17" name="STP &lt;5" tableColumnId="17"/>
      <queryTableField id="18" name="STP 5-2" tableColumnId="18"/>
      <queryTableField id="19" name="STP 5-50" tableColumnId="19"/>
      <queryTableField id="20" name="STP 50-200" tableColumnId="20"/>
      <queryTableField id="21" name="CRP 50-200" tableColumnId="21"/>
      <queryTableField id="22" name="STP FLEX" tableColumnId="22"/>
      <queryTableField id="23" name="STP &gt;200" tableColumnId="23"/>
      <queryTableField id="24" name="TAP FLEX" tableColumnId="24"/>
      <queryTableField id="25" name="TAP &gt;200" tableColumnId="25"/>
      <queryTableField id="26" name="TAP &lt;5" tableColumnId="26"/>
      <queryTableField id="27" name="TAP 5-2" tableColumnId="27"/>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3" xr16:uid="{00000000-0016-0000-0100-000003000000}" autoFormatId="16" applyNumberFormats="0" applyBorderFormats="0" applyFontFormats="0" applyPatternFormats="0" applyAlignmentFormats="0" applyWidthHeightFormats="0">
  <queryTableRefresh preserveSortFilterLayout="0" nextId="28">
    <queryTableFields count="27">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CMAQ" tableColumnId="10"/>
      <queryTableField id="11" name="CMAQ 25" tableColumnId="11"/>
      <queryTableField id="12" name="HURF Exchange" tableColumnId="12"/>
      <queryTableField id="13" name="HSIP" tableColumnId="13"/>
      <queryTableField id="14" name="PLAN" tableColumnId="14"/>
      <queryTableField id="15" name="PLAN SATO" tableColumnId="15"/>
      <queryTableField id="16" name="SPR" tableColumnId="16"/>
      <queryTableField id="17" name="STP &lt;5" tableColumnId="17"/>
      <queryTableField id="18" name="STP 5-2" tableColumnId="18"/>
      <queryTableField id="19" name="STP 5-50" tableColumnId="19"/>
      <queryTableField id="20" name="STP 50-200" tableColumnId="20"/>
      <queryTableField id="21" name="CRP 50-200" tableColumnId="21"/>
      <queryTableField id="22" name="STP FLEX" tableColumnId="22"/>
      <queryTableField id="23" name="STP &gt;200" tableColumnId="23"/>
      <queryTableField id="24" name="TAP FLEX" tableColumnId="24"/>
      <queryTableField id="25" name="TAP &gt;200" tableColumnId="25"/>
      <queryTableField id="26" name="TAP &lt;5" tableColumnId="26"/>
      <queryTableField id="27" name="TAP 5-2" tableColumnId="2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Y27" tableType="queryTable" totalsRowShown="0" headerRowDxfId="115" dataDxfId="114" tableBorderDxfId="113">
  <autoFilter ref="A15:Y27" xr:uid="{00000000-0009-0000-0100-000007000000}"/>
  <tableColumns count="25">
    <tableColumn id="1" xr3:uid="{00000000-0010-0000-0000-000001000000}" uniqueName="1" name="ADOT#" queryTableFieldId="1" dataDxfId="78"/>
    <tableColumn id="2" xr3:uid="{00000000-0010-0000-0000-000002000000}" uniqueName="2" name="TIP#" queryTableFieldId="2" dataDxfId="77"/>
    <tableColumn id="3" xr3:uid="{00000000-0010-0000-0000-000003000000}" uniqueName="3" name="Sponsor" queryTableFieldId="3" dataDxfId="76"/>
    <tableColumn id="4" xr3:uid="{00000000-0010-0000-0000-000004000000}" uniqueName="4" name="Action/15" queryTableFieldId="4" dataDxfId="75"/>
    <tableColumn id="5" xr3:uid="{00000000-0010-0000-0000-000005000000}" uniqueName="5" name="Location" queryTableFieldId="5" dataDxfId="74"/>
    <tableColumn id="6" xr3:uid="{00000000-0010-0000-0000-000006000000}" uniqueName="6" name="RTE" queryTableFieldId="6" dataDxfId="73"/>
    <tableColumn id="7" xr3:uid="{00000000-0010-0000-0000-000007000000}" uniqueName="7" name="SEC" queryTableFieldId="7" dataDxfId="72"/>
    <tableColumn id="8" xr3:uid="{00000000-0010-0000-0000-000008000000}" uniqueName="8" name="SEQ" queryTableFieldId="8" dataDxfId="71"/>
    <tableColumn id="9" xr3:uid="{00000000-0010-0000-0000-000009000000}" uniqueName="9" name="PB Expected" queryTableFieldId="9" dataDxfId="70"/>
    <tableColumn id="10" xr3:uid="{00000000-0010-0000-0000-00000A000000}" uniqueName="10" name="PB Received" queryTableFieldId="10" dataDxfId="69"/>
    <tableColumn id="11" xr3:uid="{00000000-0010-0000-0000-00000B000000}" uniqueName="11" name="PF Transmitted" queryTableFieldId="11" dataDxfId="68"/>
    <tableColumn id="12" xr3:uid="{00000000-0010-0000-0000-00000C000000}" uniqueName="12" name="Finance Authorization" queryTableFieldId="12" dataDxfId="67"/>
    <tableColumn id="13" xr3:uid="{00000000-0010-0000-0000-00000D000000}" uniqueName="13" name="HURF EX" queryTableFieldId="13" dataDxfId="66"/>
    <tableColumn id="14" xr3:uid="{00000000-0010-0000-0000-00000E000000}" uniqueName="14" name="HSIP" queryTableFieldId="14" dataDxfId="65"/>
    <tableColumn id="15" xr3:uid="{00000000-0010-0000-0000-00000F000000}" uniqueName="15" name="PL" queryTableFieldId="15" dataDxfId="64"/>
    <tableColumn id="16" xr3:uid="{00000000-0010-0000-0000-000010000000}" uniqueName="16" name="PL-SATO" queryTableFieldId="16" dataDxfId="63"/>
    <tableColumn id="17" xr3:uid="{00000000-0010-0000-0000-000011000000}" uniqueName="17" name="SPR" queryTableFieldId="17" dataDxfId="62"/>
    <tableColumn id="18" xr3:uid="{00000000-0010-0000-0000-000012000000}" uniqueName="18" name="STP &lt;5" queryTableFieldId="18" dataDxfId="61"/>
    <tableColumn id="19" xr3:uid="{00000000-0010-0000-0000-000013000000}" uniqueName="19" name="STP 5-200" queryTableFieldId="19" dataDxfId="60"/>
    <tableColumn id="20" xr3:uid="{00000000-0010-0000-0000-000014000000}" uniqueName="20" name="STP 5-50" queryTableFieldId="20" dataDxfId="59"/>
    <tableColumn id="21" xr3:uid="{00000000-0010-0000-0000-000015000000}" uniqueName="21" name="STP 50-200" queryTableFieldId="21" dataDxfId="58"/>
    <tableColumn id="22" xr3:uid="{00000000-0010-0000-0000-000016000000}" uniqueName="22" name="CRP 50-200" queryTableFieldId="22" dataDxfId="57"/>
    <tableColumn id="23" xr3:uid="{00000000-0010-0000-0000-000017000000}" uniqueName="23" name="STP other" queryTableFieldId="23" dataDxfId="56"/>
    <tableColumn id="24" xr3:uid="{00000000-0010-0000-0000-000018000000}" uniqueName="24" name="TOTAL OF AMOUNT" queryTableFieldId="25" dataDxfId="55">
      <calculatedColumnFormula>SUM(Table_Query_from_MS_Access_Database8[[#This Row],[HURF EX]:[STP other]])</calculatedColumnFormula>
    </tableColumn>
    <tableColumn id="25" xr3:uid="{00000000-0010-0000-0000-000019000000}" uniqueName="25" name="DECLINING BALANCE OA" queryTableFieldId="24" dataDxfId="54">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32:Y35" tableType="queryTable" totalsRowShown="0" headerRowDxfId="112" dataDxfId="111">
  <autoFilter ref="A32:Y35" xr:uid="{00000000-0009-0000-0100-000008000000}"/>
  <tableColumns count="25">
    <tableColumn id="1" xr3:uid="{00000000-0010-0000-0100-000001000000}" uniqueName="1" name="ADOT#" queryTableFieldId="1" dataDxfId="103"/>
    <tableColumn id="2" xr3:uid="{00000000-0010-0000-0100-000002000000}" uniqueName="2" name="TIP#" queryTableFieldId="2" dataDxfId="102"/>
    <tableColumn id="3" xr3:uid="{00000000-0010-0000-0100-000003000000}" uniqueName="3" name="Sponsor" queryTableFieldId="3" dataDxfId="101"/>
    <tableColumn id="4" xr3:uid="{00000000-0010-0000-0100-000004000000}" uniqueName="4" name="Action/15" queryTableFieldId="4" dataDxfId="100"/>
    <tableColumn id="5" xr3:uid="{00000000-0010-0000-0100-000005000000}" uniqueName="5" name="Location" queryTableFieldId="5" dataDxfId="99"/>
    <tableColumn id="6" xr3:uid="{00000000-0010-0000-0100-000006000000}" uniqueName="6" name="RTE" queryTableFieldId="6" dataDxfId="98"/>
    <tableColumn id="7" xr3:uid="{00000000-0010-0000-0100-000007000000}" uniqueName="7" name="SEC" queryTableFieldId="7" dataDxfId="97"/>
    <tableColumn id="8" xr3:uid="{00000000-0010-0000-0100-000008000000}" uniqueName="8" name="SEQ" queryTableFieldId="8" dataDxfId="96"/>
    <tableColumn id="9" xr3:uid="{00000000-0010-0000-0100-000009000000}" uniqueName="9" name="PB Expected" queryTableFieldId="9" dataDxfId="95"/>
    <tableColumn id="10" xr3:uid="{00000000-0010-0000-0100-00000A000000}" uniqueName="10" name="PB Received" queryTableFieldId="10" dataDxfId="94"/>
    <tableColumn id="11" xr3:uid="{00000000-0010-0000-0100-00000B000000}" uniqueName="11" name="PF Transmitted" queryTableFieldId="11" dataDxfId="93"/>
    <tableColumn id="12" xr3:uid="{00000000-0010-0000-0100-00000C000000}" uniqueName="12" name="Finance Authorization" queryTableFieldId="12" dataDxfId="92"/>
    <tableColumn id="13" xr3:uid="{00000000-0010-0000-0100-00000D000000}" uniqueName="13" name="HURF EX" queryTableFieldId="13" dataDxfId="91"/>
    <tableColumn id="14" xr3:uid="{00000000-0010-0000-0100-00000E000000}" uniqueName="14" name="HSIP" queryTableFieldId="14" dataDxfId="90"/>
    <tableColumn id="15" xr3:uid="{00000000-0010-0000-0100-00000F000000}" uniqueName="15" name="PL" queryTableFieldId="15" dataDxfId="89"/>
    <tableColumn id="16" xr3:uid="{00000000-0010-0000-0100-000010000000}" uniqueName="16" name="PL-SATO" queryTableFieldId="16" dataDxfId="88"/>
    <tableColumn id="17" xr3:uid="{00000000-0010-0000-0100-000011000000}" uniqueName="17" name="SPR" queryTableFieldId="17" dataDxfId="87"/>
    <tableColumn id="18" xr3:uid="{00000000-0010-0000-0100-000012000000}" uniqueName="18" name="STP &lt;5" queryTableFieldId="18" dataDxfId="86"/>
    <tableColumn id="19" xr3:uid="{00000000-0010-0000-0100-000013000000}" uniqueName="19" name="STP 5-200" queryTableFieldId="19" dataDxfId="85"/>
    <tableColumn id="20" xr3:uid="{00000000-0010-0000-0100-000014000000}" uniqueName="20" name="STP 5-50" queryTableFieldId="20" dataDxfId="84"/>
    <tableColumn id="21" xr3:uid="{00000000-0010-0000-0100-000015000000}" uniqueName="21" name="STP 50-200" queryTableFieldId="21" dataDxfId="83"/>
    <tableColumn id="22" xr3:uid="{00000000-0010-0000-0100-000016000000}" uniqueName="22" name="CRP 50-200" queryTableFieldId="22" dataDxfId="82"/>
    <tableColumn id="23" xr3:uid="{00000000-0010-0000-0100-000017000000}" uniqueName="23" name="STP OTHER" queryTableFieldId="23" dataDxfId="81"/>
    <tableColumn id="24" xr3:uid="{00000000-0010-0000-0100-000018000000}" uniqueName="24" name="TOTAL OF AMOUNT" queryTableFieldId="25" dataDxfId="80">
      <calculatedColumnFormula>SUM(Table_Query_from_MS_Access_Database_1[[#This Row],[HURF EX]:[CRP 50-200]])</calculatedColumnFormula>
    </tableColumn>
    <tableColumn id="25" xr3:uid="{00000000-0010-0000-0100-000019000000}" uniqueName="25" name="DECLINING BALANCE OA" queryTableFieldId="24" dataDxfId="79">
      <calculatedColumnFormula>IF(ISTEXT(INDIRECT(ADDRESS(ROW()-1,COLUMN()))),INDIRECT(ADDRESS(12,COLUMN()))-SUM(Table_Query_from_MS_Access_Database8[TOTAL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AA104" tableType="queryTable" totalsRowShown="0" headerRowDxfId="110" headerRowBorderDxfId="109" tableBorderDxfId="108" totalsRowBorderDxfId="107" headerRowCellStyle="Comma" dataCellStyle="Comma">
  <autoFilter ref="A11:AA104" xr:uid="{00000000-000C-0000-FFFF-FFFF02000000}"/>
  <tableColumns count="27">
    <tableColumn id="1" xr3:uid="{88A5E6D1-D997-438B-B582-2F6D025AE357}" uniqueName="1" name="Transaction Year" queryTableFieldId="1" dataDxfId="26" dataCellStyle="Comma"/>
    <tableColumn id="2" xr3:uid="{33307C5B-F4DC-4271-8533-71ED326FA0A9}" uniqueName="2" name="Transaction Type" queryTableFieldId="2" dataDxfId="25" dataCellStyle="Comma"/>
    <tableColumn id="3" xr3:uid="{57856F14-C196-477C-834C-3F9391BE15D4}" uniqueName="3" name="Number" queryTableFieldId="3" dataDxfId="24" dataCellStyle="Comma"/>
    <tableColumn id="4" xr3:uid="{5C4E54B7-473F-4E7E-A7B3-1118637A7F77}" uniqueName="4" name="From" queryTableFieldId="4" dataDxfId="23" dataCellStyle="Comma"/>
    <tableColumn id="5" xr3:uid="{9897463E-9C05-4ABC-8D26-8937012F5F93}" uniqueName="5" name="To" queryTableFieldId="5" dataDxfId="22" dataCellStyle="Comma"/>
    <tableColumn id="6" xr3:uid="{33B5D4AC-29B0-485D-9679-81EE544898E7}" uniqueName="6" name="Repayment Year" queryTableFieldId="6" dataDxfId="21" dataCellStyle="Comma"/>
    <tableColumn id="7" xr3:uid="{5C57F606-7265-421F-95DF-050588156D53}" uniqueName="7" name="Project8" queryTableFieldId="7" dataDxfId="20" dataCellStyle="Comma"/>
    <tableColumn id="8" xr3:uid="{69E88172-5DCF-43C3-843C-DC635104375F}" uniqueName="8" name="Notes" queryTableFieldId="8" dataDxfId="19" dataCellStyle="Comma"/>
    <tableColumn id="9" xr3:uid="{202A2857-8E5C-4AE8-8584-E5AC6CA48D1A}" uniqueName="9" name="Total" queryTableFieldId="9" dataDxfId="18" dataCellStyle="Comma"/>
    <tableColumn id="10" xr3:uid="{6D907E55-68F1-4AD6-9135-6B19B88BE57C}" uniqueName="10" name="CMAQ" queryTableFieldId="10" dataDxfId="17" dataCellStyle="Comma"/>
    <tableColumn id="11" xr3:uid="{74ECF7B8-1495-4812-BE1B-C41C1036DAE0}" uniqueName="11" name="CMAQ 25" queryTableFieldId="11" dataDxfId="16" dataCellStyle="Comma"/>
    <tableColumn id="12" xr3:uid="{756E9D5E-DA74-407D-9D03-D382FFF8D1D6}" uniqueName="12" name="HURF Exchange" queryTableFieldId="12" dataDxfId="15" dataCellStyle="Comma"/>
    <tableColumn id="13" xr3:uid="{9777A3DA-FBF8-40FC-840D-423C06581174}" uniqueName="13" name="HSIP" queryTableFieldId="13" dataDxfId="14" dataCellStyle="Comma"/>
    <tableColumn id="14" xr3:uid="{5794FD5F-FEA9-445F-A164-6136E3DFFF6A}" uniqueName="14" name="PLAN" queryTableFieldId="14" dataDxfId="13" dataCellStyle="Comma"/>
    <tableColumn id="15" xr3:uid="{406F4392-0016-453D-B6CD-16221EE4479A}" uniqueName="15" name="PLAN SATO" queryTableFieldId="15" dataDxfId="12" dataCellStyle="Comma"/>
    <tableColumn id="16" xr3:uid="{79CCE618-E551-41E6-A5A5-E32DB36DE8C1}" uniqueName="16" name="SPR" queryTableFieldId="16" dataDxfId="11" dataCellStyle="Comma"/>
    <tableColumn id="17" xr3:uid="{27DBFF35-7185-4486-960D-98A46397B116}" uniqueName="17" name="STP &lt;5" queryTableFieldId="17" dataDxfId="10" dataCellStyle="Comma"/>
    <tableColumn id="18" xr3:uid="{E0D235B9-E835-4D78-89B2-88E7CDA4C0D3}" uniqueName="18" name="STP 5-2" queryTableFieldId="18" dataDxfId="9" dataCellStyle="Comma"/>
    <tableColumn id="19" xr3:uid="{4DDB1E05-8C73-48DF-8BE1-4DF769001FC2}" uniqueName="19" name="STP 5-50" queryTableFieldId="19" dataDxfId="8" dataCellStyle="Comma"/>
    <tableColumn id="20" xr3:uid="{07220193-1D27-45B5-9CDF-B8A13E8A87CE}" uniqueName="20" name="STP 50-200" queryTableFieldId="20" dataDxfId="7" dataCellStyle="Comma"/>
    <tableColumn id="21" xr3:uid="{61C90953-72AB-449E-9909-D2E702423CA2}" uniqueName="21" name="CRP 50-200" queryTableFieldId="21" dataDxfId="6" dataCellStyle="Comma"/>
    <tableColumn id="22" xr3:uid="{10590E0E-47FB-4F6C-8FD1-9F64544A0E63}" uniqueName="22" name="STP FLEX" queryTableFieldId="22" dataDxfId="5" dataCellStyle="Comma"/>
    <tableColumn id="23" xr3:uid="{06D97FD4-B275-4BC8-9D88-2133DFACE880}" uniqueName="23" name="STP &gt;200" queryTableFieldId="23" dataDxfId="4" dataCellStyle="Comma"/>
    <tableColumn id="24" xr3:uid="{89A59779-A6FF-4D1D-AC76-23299414E738}" uniqueName="24" name="TAP FLEX" queryTableFieldId="24" dataDxfId="3" dataCellStyle="Comma"/>
    <tableColumn id="25" xr3:uid="{861FAE9E-2F22-4F63-A5F8-845F393D5AF2}" uniqueName="25" name="TAP &gt;200" queryTableFieldId="25" dataDxfId="2" dataCellStyle="Comma"/>
    <tableColumn id="26" xr3:uid="{78C5C824-40ED-4454-8DC2-0FA99EA9817E}" uniqueName="26" name="TAP &lt;5" queryTableFieldId="26" dataDxfId="1" dataCellStyle="Comma"/>
    <tableColumn id="27" xr3:uid="{D57FEF8C-CAA0-4655-841E-8F6D46537B83}" uniqueName="27" name="TAP 5-2" queryTableFieldId="27" dataDxfId="0"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107:AA198" tableType="queryTable" totalsRowShown="0" headerRowDxfId="106" dataDxfId="105" tableBorderDxfId="104" headerRowCellStyle="Comma" dataCellStyle="Comma">
  <autoFilter ref="A107:AA198" xr:uid="{00000000-000C-0000-FFFF-FFFF03000000}"/>
  <tableColumns count="27">
    <tableColumn id="1" xr3:uid="{6142C5FB-87BF-440F-8A63-F0EB1D3648B9}" uniqueName="1" name="Transaction Year" queryTableFieldId="1" dataDxfId="53" dataCellStyle="Comma"/>
    <tableColumn id="2" xr3:uid="{626232A4-15E0-4AD0-A4E7-AE75F950F84C}" uniqueName="2" name="Transaction Type" queryTableFieldId="2" dataDxfId="52" dataCellStyle="Comma"/>
    <tableColumn id="3" xr3:uid="{35503D1B-8F84-4C20-99CF-305AB563787C}" uniqueName="3" name="Number" queryTableFieldId="3" dataDxfId="51" dataCellStyle="Comma"/>
    <tableColumn id="4" xr3:uid="{BD3E8101-7640-4431-B722-944D9857187B}" uniqueName="4" name="From" queryTableFieldId="4" dataDxfId="50" dataCellStyle="Comma"/>
    <tableColumn id="5" xr3:uid="{7059EC6A-8233-44B9-8085-97AAC60E8BE3}" uniqueName="5" name="To" queryTableFieldId="5" dataDxfId="49" dataCellStyle="Comma"/>
    <tableColumn id="6" xr3:uid="{C809159A-EB0E-40C0-AD4C-A2660955FB72}" uniqueName="6" name="Repayment Year" queryTableFieldId="6" dataDxfId="48" dataCellStyle="Comma"/>
    <tableColumn id="7" xr3:uid="{BEF4746A-C935-4B24-A403-CA2D5B765DE6}" uniqueName="7" name="Project8" queryTableFieldId="7" dataDxfId="47" dataCellStyle="Comma"/>
    <tableColumn id="8" xr3:uid="{7429F4A9-1CFA-44C2-877A-47EEA12CA31B}" uniqueName="8" name="Notes" queryTableFieldId="8" dataDxfId="46" dataCellStyle="Comma"/>
    <tableColumn id="9" xr3:uid="{A2DEA964-1CCA-4A8C-B280-D4CEB7307668}" uniqueName="9" name="Total" queryTableFieldId="9" dataDxfId="45" dataCellStyle="Comma"/>
    <tableColumn id="10" xr3:uid="{D5375E0B-FDF1-4A3E-89E1-4AD0CEEE45E7}" uniqueName="10" name="CMAQ" queryTableFieldId="10" dataDxfId="44" dataCellStyle="Comma"/>
    <tableColumn id="11" xr3:uid="{BE69908F-D299-435F-BF6D-FB9899B50AAB}" uniqueName="11" name="CMAQ 25" queryTableFieldId="11" dataDxfId="43" dataCellStyle="Comma"/>
    <tableColumn id="12" xr3:uid="{FF68F6CB-DC17-419E-BBFF-0568E0B13CFE}" uniqueName="12" name="HURF Exchange" queryTableFieldId="12" dataDxfId="42" dataCellStyle="Comma"/>
    <tableColumn id="13" xr3:uid="{675893D1-03E4-4914-918D-2C2EDF54BBA2}" uniqueName="13" name="HSIP" queryTableFieldId="13" dataDxfId="41" dataCellStyle="Comma"/>
    <tableColumn id="14" xr3:uid="{709040D1-4F64-4AD5-A7AB-50B7857D45D9}" uniqueName="14" name="PLAN" queryTableFieldId="14" dataDxfId="40" dataCellStyle="Comma"/>
    <tableColumn id="15" xr3:uid="{84955B9B-A98B-475C-B3A3-EC218C1E803C}" uniqueName="15" name="PLAN SATO" queryTableFieldId="15" dataDxfId="39" dataCellStyle="Comma"/>
    <tableColumn id="16" xr3:uid="{C6AE24E5-9D94-437D-BBCD-52FA54F48F3B}" uniqueName="16" name="SPR" queryTableFieldId="16" dataDxfId="38" dataCellStyle="Comma"/>
    <tableColumn id="17" xr3:uid="{2F255008-4108-4161-852F-035E60B168E9}" uniqueName="17" name="STP &lt;5" queryTableFieldId="17" dataDxfId="37" dataCellStyle="Comma"/>
    <tableColumn id="18" xr3:uid="{7AE0B6DB-5BA8-4B19-99F9-AA03A8314C85}" uniqueName="18" name="STP 5-2" queryTableFieldId="18" dataDxfId="36" dataCellStyle="Comma"/>
    <tableColumn id="19" xr3:uid="{BF238B21-8125-413A-A807-74F05C0D0F3E}" uniqueName="19" name="STP 5-50" queryTableFieldId="19" dataDxfId="35" dataCellStyle="Comma"/>
    <tableColumn id="20" xr3:uid="{BC5C5325-4776-4F01-AC26-A41692018BFA}" uniqueName="20" name="STP 50-200" queryTableFieldId="20" dataDxfId="34" dataCellStyle="Comma"/>
    <tableColumn id="21" xr3:uid="{36FEFB1C-DD62-4E24-9146-3316829CC4F8}" uniqueName="21" name="CRP 50-200" queryTableFieldId="21" dataDxfId="33" dataCellStyle="Comma"/>
    <tableColumn id="22" xr3:uid="{F9E8E661-50B7-4E0F-82E9-2B2D4F88537C}" uniqueName="22" name="STP FLEX" queryTableFieldId="22" dataDxfId="32" dataCellStyle="Comma"/>
    <tableColumn id="23" xr3:uid="{8D30D8F8-C857-409C-896F-672B72B28B7E}" uniqueName="23" name="STP &gt;200" queryTableFieldId="23" dataDxfId="31" dataCellStyle="Comma"/>
    <tableColumn id="24" xr3:uid="{C4BF19E4-62F8-4EEB-82D8-7CDCBF2D36E2}" uniqueName="24" name="TAP FLEX" queryTableFieldId="24" dataDxfId="30" dataCellStyle="Comma"/>
    <tableColumn id="25" xr3:uid="{99EDC712-D890-4587-8781-9EF5E7944F28}" uniqueName="25" name="TAP &gt;200" queryTableFieldId="25" dataDxfId="29" dataCellStyle="Comma"/>
    <tableColumn id="26" xr3:uid="{69049967-38B2-4AC6-AF9F-CCD0F1B78B54}" uniqueName="26" name="TAP &lt;5" queryTableFieldId="26" dataDxfId="28" dataCellStyle="Comma"/>
    <tableColumn id="27" xr3:uid="{42D43B05-9891-40C8-8C2F-2566017734DE}" uniqueName="27" name="TAP 5-2" queryTableFieldId="27" dataDxfId="27"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62"/>
  <sheetViews>
    <sheetView tabSelected="1" zoomScale="90" zoomScaleNormal="90" zoomScaleSheetLayoutView="115" workbookViewId="0">
      <selection sqref="A1:F1"/>
    </sheetView>
  </sheetViews>
  <sheetFormatPr defaultColWidth="32" defaultRowHeight="13.8" outlineLevelCol="1"/>
  <cols>
    <col min="1" max="1" width="12.6640625" style="24" customWidth="1"/>
    <col min="2" max="2" width="12.44140625" style="24" customWidth="1"/>
    <col min="3" max="3" width="11.33203125" style="24" customWidth="1"/>
    <col min="4" max="4" width="12.44140625" style="24" customWidth="1"/>
    <col min="5" max="5" width="40.6640625" style="24" customWidth="1"/>
    <col min="6" max="6" width="10.88671875" style="24" hidden="1" customWidth="1" outlineLevel="1"/>
    <col min="7" max="7" width="9.109375" style="24" hidden="1" customWidth="1" outlineLevel="1"/>
    <col min="8" max="8" width="9.33203125" style="24" hidden="1" customWidth="1" outlineLevel="1"/>
    <col min="9" max="9" width="12.44140625" style="24" customWidth="1" collapsed="1"/>
    <col min="10" max="10" width="13.6640625" style="24" customWidth="1"/>
    <col min="11" max="11" width="14.6640625" style="24" customWidth="1"/>
    <col min="12" max="12" width="19.6640625" style="24" customWidth="1"/>
    <col min="13" max="13" width="18.6640625" style="24" customWidth="1"/>
    <col min="14" max="14" width="12.44140625" style="27" customWidth="1"/>
    <col min="15" max="15" width="13.33203125" style="27" customWidth="1"/>
    <col min="16" max="16" width="11.88671875" style="27" customWidth="1"/>
    <col min="17" max="17" width="13.5546875" style="27" customWidth="1"/>
    <col min="18" max="18" width="12.88671875" style="27" customWidth="1"/>
    <col min="19" max="19" width="15.88671875" style="27" customWidth="1"/>
    <col min="20" max="20" width="12.33203125" style="27" customWidth="1"/>
    <col min="21" max="21" width="17" style="24" customWidth="1"/>
    <col min="22" max="22" width="17.33203125" style="24" customWidth="1"/>
    <col min="23" max="23" width="17.5546875" style="24" customWidth="1"/>
    <col min="24" max="24" width="15.33203125" style="24" customWidth="1"/>
    <col min="25" max="25" width="20.109375" style="24" customWidth="1"/>
    <col min="26" max="26" width="14.44140625" style="24" customWidth="1"/>
    <col min="27" max="16384" width="32" style="24"/>
  </cols>
  <sheetData>
    <row r="1" spans="1:27" ht="23.25" customHeight="1">
      <c r="A1" s="213" t="s">
        <v>135</v>
      </c>
      <c r="B1" s="213"/>
      <c r="C1" s="213"/>
      <c r="D1" s="213"/>
      <c r="E1" s="213"/>
      <c r="F1" s="213"/>
      <c r="J1" s="25"/>
      <c r="K1" s="26"/>
      <c r="L1" s="25"/>
      <c r="M1" s="210" t="s">
        <v>73</v>
      </c>
      <c r="N1" s="210"/>
      <c r="O1" s="210"/>
      <c r="P1" s="210"/>
      <c r="Q1" s="210"/>
      <c r="R1" s="210"/>
      <c r="S1" s="210"/>
      <c r="T1" s="210"/>
      <c r="U1" s="210"/>
      <c r="V1" s="210"/>
      <c r="W1" s="210"/>
      <c r="X1" s="210"/>
    </row>
    <row r="2" spans="1:27" ht="17.25" customHeight="1">
      <c r="A2" s="24" t="s">
        <v>240</v>
      </c>
      <c r="J2" s="25"/>
      <c r="K2" s="25"/>
      <c r="L2" s="25"/>
      <c r="M2" s="209" t="s">
        <v>12</v>
      </c>
      <c r="N2" s="209"/>
      <c r="O2" s="209"/>
      <c r="P2" s="209"/>
      <c r="Q2" s="209"/>
      <c r="R2" s="209"/>
      <c r="S2" s="209"/>
      <c r="T2" s="209"/>
      <c r="U2" s="209"/>
      <c r="V2" s="209"/>
      <c r="W2" s="209"/>
      <c r="X2" s="209"/>
    </row>
    <row r="3" spans="1:27" ht="27.6" customHeight="1">
      <c r="A3" s="214" t="s">
        <v>306</v>
      </c>
      <c r="B3" s="214"/>
      <c r="C3" s="214"/>
      <c r="D3" s="214"/>
      <c r="E3" s="28"/>
      <c r="F3" s="28"/>
      <c r="G3" s="28"/>
      <c r="J3" s="25"/>
      <c r="K3" s="60"/>
      <c r="L3" s="108" t="s">
        <v>11</v>
      </c>
      <c r="M3" s="109" t="s">
        <v>141</v>
      </c>
      <c r="N3" s="110" t="s">
        <v>56</v>
      </c>
      <c r="O3" s="110" t="s">
        <v>40</v>
      </c>
      <c r="P3" s="140" t="s">
        <v>200</v>
      </c>
      <c r="Q3" s="110" t="s">
        <v>53</v>
      </c>
      <c r="R3" s="110" t="s">
        <v>98</v>
      </c>
      <c r="S3" s="110" t="s">
        <v>100</v>
      </c>
      <c r="T3" s="142" t="s">
        <v>201</v>
      </c>
      <c r="U3" s="141" t="s">
        <v>202</v>
      </c>
      <c r="V3" s="141" t="s">
        <v>203</v>
      </c>
      <c r="W3" s="110" t="s">
        <v>6</v>
      </c>
      <c r="X3" s="110" t="s">
        <v>10</v>
      </c>
      <c r="Y3" s="133" t="s">
        <v>15</v>
      </c>
    </row>
    <row r="4" spans="1:27" ht="23.4">
      <c r="A4" s="190"/>
      <c r="E4" s="29"/>
      <c r="F4" s="29"/>
      <c r="G4" s="29"/>
      <c r="J4" s="25"/>
      <c r="K4" s="25"/>
      <c r="L4" s="111" t="s">
        <v>102</v>
      </c>
      <c r="M4" s="112">
        <v>0</v>
      </c>
      <c r="N4" s="113">
        <v>0</v>
      </c>
      <c r="O4" s="113">
        <v>0</v>
      </c>
      <c r="P4" s="113">
        <v>0</v>
      </c>
      <c r="Q4" s="113">
        <v>0</v>
      </c>
      <c r="R4" s="113">
        <v>0</v>
      </c>
      <c r="S4" s="113">
        <v>0</v>
      </c>
      <c r="T4" s="113">
        <v>0</v>
      </c>
      <c r="U4" s="113">
        <v>0</v>
      </c>
      <c r="V4" s="178">
        <v>72540</v>
      </c>
      <c r="W4" s="178">
        <v>0</v>
      </c>
      <c r="X4" s="178">
        <f t="shared" ref="X4:X12" si="0">SUM(M4:W4)</f>
        <v>72540</v>
      </c>
      <c r="Y4" s="179">
        <v>0</v>
      </c>
    </row>
    <row r="5" spans="1:27" ht="26.4" customHeight="1">
      <c r="A5" s="208" t="s">
        <v>290</v>
      </c>
      <c r="B5" s="208"/>
      <c r="C5" s="208"/>
      <c r="D5" s="208"/>
      <c r="J5" s="25"/>
      <c r="K5" s="25"/>
      <c r="L5" s="114" t="s">
        <v>94</v>
      </c>
      <c r="M5" s="134">
        <v>0</v>
      </c>
      <c r="N5" s="115">
        <v>0</v>
      </c>
      <c r="O5" s="116">
        <f>+'FY26 Apportionments'!C4</f>
        <v>162938</v>
      </c>
      <c r="P5" s="167">
        <f>+'FY26 Apportionments'!C5</f>
        <v>4178</v>
      </c>
      <c r="Q5" s="116">
        <f>+'FY26 Apportionments'!D3</f>
        <v>125000</v>
      </c>
      <c r="R5" s="116">
        <f>+'FY26 Apportionments'!D8</f>
        <v>88544</v>
      </c>
      <c r="S5" s="153">
        <f>+'FY26 Apportionments'!D6</f>
        <v>0</v>
      </c>
      <c r="T5" s="161">
        <v>0</v>
      </c>
      <c r="U5" s="150">
        <f>+'FY26 Apportionments'!D7</f>
        <v>279254</v>
      </c>
      <c r="V5" s="150">
        <f>+'FY26 Apportionments'!C9</f>
        <v>120382</v>
      </c>
      <c r="W5" s="153">
        <v>0</v>
      </c>
      <c r="X5" s="115">
        <f t="shared" si="0"/>
        <v>780296</v>
      </c>
      <c r="Y5" s="134">
        <f>ROUND(+'Federal Funds Transactions'!$X5*0.949,0)</f>
        <v>740501</v>
      </c>
      <c r="AA5" s="27"/>
    </row>
    <row r="6" spans="1:27">
      <c r="A6" s="65" t="s">
        <v>75</v>
      </c>
      <c r="C6" s="52">
        <v>46024</v>
      </c>
      <c r="J6" s="25"/>
      <c r="K6" s="25"/>
      <c r="L6" s="111" t="s">
        <v>64</v>
      </c>
      <c r="M6" s="135">
        <f>SUMIFS(Table_Query_from_MS_Access_Database[[#All],[HURF Exchange]],Table_Query_from_MS_Access_Database[[#All],[Transaction Year]],"2026",Table_Query_from_MS_Access_Database[[#All],[Transaction Type]],"loan in")</f>
        <v>0</v>
      </c>
      <c r="N6" s="117">
        <f>SUMIFS(Table_Query_from_MS_Access_Database[[#All],[HSIP]],Table_Query_from_MS_Access_Database[[#All],[Transaction Year]],"2026",Table_Query_from_MS_Access_Database[[#All],[Transaction Type]],"loan in")</f>
        <v>0</v>
      </c>
      <c r="O6" s="117">
        <f>SUMIFS(Table_Query_from_MS_Access_Database[[#All],[PLAN]],Table_Query_from_MS_Access_Database[[#All],[Transaction Year]],"2026",Table_Query_from_MS_Access_Database[[#All],[Transaction Type]],"loan in")</f>
        <v>0</v>
      </c>
      <c r="P6" s="117">
        <f>SUMIFS(Table_Query_from_MS_Access_Database[[#All],[PLAN SATO]],Table_Query_from_MS_Access_Database[[#All],[Transaction Year]],"2026",Table_Query_from_MS_Access_Database[[#All],[Transaction Type]],"loan in")</f>
        <v>0</v>
      </c>
      <c r="Q6" s="117">
        <f>SUMIFS(Table_Query_from_MS_Access_Database[[#All],[SPR]],Table_Query_from_MS_Access_Database[[#All],[Transaction Year]],"2026",Table_Query_from_MS_Access_Database[[#All],[Transaction Type]],"loan in")</f>
        <v>0</v>
      </c>
      <c r="R6" s="117">
        <f>SUMIFS(Table_Query_from_MS_Access_Database[[#All],[STP &lt;5]],Table_Query_from_MS_Access_Database[[#All],[Transaction Year]],"2026",Table_Query_from_MS_Access_Database[[#All],[Transaction Type]],"loan in")</f>
        <v>0</v>
      </c>
      <c r="S6" s="117">
        <f>SUMIFS(Table_Query_from_MS_Access_Database[[#All],[STP 5-2]],Table_Query_from_MS_Access_Database[[#All],[Transaction Year]],"2026",Table_Query_from_MS_Access_Database[[#All],[Transaction Type]],"loan in")</f>
        <v>0</v>
      </c>
      <c r="T6" s="117">
        <f>SUMIFS(Table_Query_from_MS_Access_Database[[#All],[STP 5-50]],Table_Query_from_MS_Access_Database[[#All],[Transaction Year]],"2026",Table_Query_from_MS_Access_Database[[#All],[Transaction Type]],"loan in")</f>
        <v>0</v>
      </c>
      <c r="U6" s="117">
        <f>SUMIFS(Table_Query_from_MS_Access_Database[[#All],[STP 50-200]],Table_Query_from_MS_Access_Database[[#All],[Transaction Year]],"2026",Table_Query_from_MS_Access_Database[[#All],[Transaction Type]],"loan in")</f>
        <v>0</v>
      </c>
      <c r="V6" s="117">
        <f>SUMIFS(Table_Query_from_MS_Access_Database[[#All],[CRP 50-200]],Table_Query_from_MS_Access_Database[[#All],[Transaction Year]],"2026",Table_Query_from_MS_Access_Database[[#All],[Transaction Type]],"loan in")</f>
        <v>0</v>
      </c>
      <c r="W6" s="117">
        <f>SUMIFS(Table_Query_from_MS_Access_Database[[#All],[STP FLEX]],Table_Query_from_MS_Access_Database[[#All],[Transaction Year]],"2026",Table_Query_from_MS_Access_Database[[#All],[Transaction Type]],"loan in")</f>
        <v>0</v>
      </c>
      <c r="X6" s="113">
        <f t="shared" si="0"/>
        <v>0</v>
      </c>
      <c r="Y6" s="135">
        <f>SUMIFS(Table_Query_from_MS_Access_Database_16[[#All],[Total]],Table_Query_from_MS_Access_Database_16[[#All],[Transaction Year]],"2026",Table_Query_from_MS_Access_Database_16[[#All],[Transaction Type]],"Loan In")</f>
        <v>0</v>
      </c>
    </row>
    <row r="7" spans="1:27">
      <c r="A7" s="31"/>
      <c r="J7" s="25"/>
      <c r="K7" s="25"/>
      <c r="L7" s="114" t="s">
        <v>65</v>
      </c>
      <c r="M7" s="136">
        <f>SUMIFS(Table_Query_from_MS_Access_Database[[#All],[HURF Exchange]],Table_Query_from_MS_Access_Database[[#All],[Transaction Year]],"2026",Table_Query_from_MS_Access_Database[[#All],[Transaction Type]],"loan out")</f>
        <v>0</v>
      </c>
      <c r="N7" s="171">
        <f>SUMIFS(Table_Query_from_MS_Access_Database[[#All],[HSIP]],Table_Query_from_MS_Access_Database[[#All],[Transaction Year]],"2026",Table_Query_from_MS_Access_Database[[#All],[Transaction Type]],"loan out")</f>
        <v>0</v>
      </c>
      <c r="O7" s="171">
        <f>SUMIFS(Table_Query_from_MS_Access_Database[[#All],[PLAN]],Table_Query_from_MS_Access_Database[[#All],[Transaction Year]],"2026",Table_Query_from_MS_Access_Database[[#All],[Transaction Type]],"loan out")</f>
        <v>0</v>
      </c>
      <c r="P7" s="171">
        <f>SUMIFS(Table_Query_from_MS_Access_Database[[#All],[PLAN SATO]],Table_Query_from_MS_Access_Database[[#All],[Transaction Year]],"2026",Table_Query_from_MS_Access_Database[[#All],[Transaction Type]],"loan out")</f>
        <v>0</v>
      </c>
      <c r="Q7" s="171">
        <f>SUMIFS(Table_Query_from_MS_Access_Database[[#All],[SPR]],Table_Query_from_MS_Access_Database[[#All],[Transaction Year]],"2026",Table_Query_from_MS_Access_Database[[#All],[Transaction Type]],"loan out")</f>
        <v>0</v>
      </c>
      <c r="R7" s="171">
        <f>SUMIFS(Table_Query_from_MS_Access_Database[[#All],[STP &lt;5]],Table_Query_from_MS_Access_Database[[#All],[Transaction Year]],"2026",Table_Query_from_MS_Access_Database[[#All],[Transaction Type]],"loan out")</f>
        <v>0</v>
      </c>
      <c r="S7" s="171">
        <f>SUMIFS(Table_Query_from_MS_Access_Database[[#All],[STP 5-2]],Table_Query_from_MS_Access_Database[[#All],[Transaction Year]],"2026",Table_Query_from_MS_Access_Database[[#All],[Transaction Type]],"loan out")</f>
        <v>0</v>
      </c>
      <c r="T7" s="171">
        <f>SUMIFS(Table_Query_from_MS_Access_Database[[#All],[STP 5-50]],Table_Query_from_MS_Access_Database[[#All],[Transaction Year]],"2026",Table_Query_from_MS_Access_Database[[#All],[Transaction Type]],"loan out")</f>
        <v>0</v>
      </c>
      <c r="U7" s="171">
        <f>SUMIFS(Table_Query_from_MS_Access_Database[[#All],[STP 50-200]],Table_Query_from_MS_Access_Database[[#All],[Transaction Year]],"2026",Table_Query_from_MS_Access_Database[[#All],[Transaction Type]],"loan out")</f>
        <v>-103345</v>
      </c>
      <c r="V7" s="171">
        <f>SUMIFS(Table_Query_from_MS_Access_Database[[#All],[CRP 50-200]],Table_Query_from_MS_Access_Database[[#All],[Transaction Year]],"2026",Table_Query_from_MS_Access_Database[[#All],[Transaction Type]],"loan out")</f>
        <v>0</v>
      </c>
      <c r="W7" s="171">
        <f>SUMIFS(Table_Query_from_MS_Access_Database[[#All],[STP FLEX]],Table_Query_from_MS_Access_Database[[#All],[Transaction Year]],"2026",Table_Query_from_MS_Access_Database[[#All],[Transaction Type]],"loan out")</f>
        <v>0</v>
      </c>
      <c r="X7" s="115">
        <f t="shared" si="0"/>
        <v>-103345</v>
      </c>
      <c r="Y7" s="136">
        <f>SUMIFS(Table_Query_from_MS_Access_Database_16[[#All],[Total]],Table_Query_from_MS_Access_Database_16[[#All],[Transaction Year]],"2026",Table_Query_from_MS_Access_Database_16[[#All],[Transaction Type]],"Loan Out")</f>
        <v>-103345</v>
      </c>
    </row>
    <row r="8" spans="1:27">
      <c r="J8" s="25"/>
      <c r="K8" s="25"/>
      <c r="L8" s="111" t="s">
        <v>66</v>
      </c>
      <c r="M8" s="135">
        <f>SUMIFS(Table_Query_from_MS_Access_Database[[#All],[HURF Exchange]],Table_Query_from_MS_Access_Database[[#All],[Transaction Year]],"2026",Table_Query_from_MS_Access_Database[[#All],[Transaction Type]],"repayment in")</f>
        <v>0</v>
      </c>
      <c r="N8" s="117">
        <f>SUMIFS(Table_Query_from_MS_Access_Database[[#All],[HSIP]],Table_Query_from_MS_Access_Database[[#All],[Transaction Year]],"2026",Table_Query_from_MS_Access_Database[[#All],[Transaction Type]],"repayment in")</f>
        <v>0</v>
      </c>
      <c r="O8" s="117">
        <f>SUMIFS(Table_Query_from_MS_Access_Database[[#All],[PLAN]],Table_Query_from_MS_Access_Database[[#All],[Transaction Year]],"2026",Table_Query_from_MS_Access_Database[[#All],[Transaction Type]],"repayment in")</f>
        <v>0</v>
      </c>
      <c r="P8" s="117">
        <f>SUMIFS(Table_Query_from_MS_Access_Database[[#All],[PLAN SATO]],Table_Query_from_MS_Access_Database[[#All],[Transaction Year]],"2026",Table_Query_from_MS_Access_Database[[#All],[Transaction Type]],"repayment in")</f>
        <v>0</v>
      </c>
      <c r="Q8" s="117">
        <f>SUMIFS(Table_Query_from_MS_Access_Database[[#All],[SPR]],Table_Query_from_MS_Access_Database[[#All],[Transaction Year]],"2026",Table_Query_from_MS_Access_Database[[#All],[Transaction Type]],"repayment in")</f>
        <v>0</v>
      </c>
      <c r="R8" s="117">
        <f>SUMIFS(Table_Query_from_MS_Access_Database[[#All],[STP &lt;5]],Table_Query_from_MS_Access_Database[[#All],[Transaction Year]],"2026",Table_Query_from_MS_Access_Database[[#All],[Transaction Type]],"repayment in")</f>
        <v>500000.35</v>
      </c>
      <c r="S8" s="117">
        <f>SUMIFS(Table_Query_from_MS_Access_Database[[#All],[STP 5-2]],Table_Query_from_MS_Access_Database[[#All],[Transaction Year]],"2026",Table_Query_from_MS_Access_Database[[#All],[Transaction Type]],"repayment in")</f>
        <v>0</v>
      </c>
      <c r="T8" s="117">
        <f>SUMIFS(Table_Query_from_MS_Access_Database[[#All],[STP 5-50]],Table_Query_from_MS_Access_Database[[#All],[Transaction Year]],"2026",Table_Query_from_MS_Access_Database[[#All],[Transaction Type]],"repayment in")</f>
        <v>0</v>
      </c>
      <c r="U8" s="117">
        <f>SUMIFS(Table_Query_from_MS_Access_Database[[#All],[STP 50-200]],Table_Query_from_MS_Access_Database[[#All],[Transaction Year]],"2026",Table_Query_from_MS_Access_Database[[#All],[Transaction Type]],"repayment in")</f>
        <v>104359</v>
      </c>
      <c r="V8" s="117">
        <f>SUMIFS(Table_Query_from_MS_Access_Database[[#All],[CRP 50-200]],Table_Query_from_MS_Access_Database[[#All],[Transaction Year]],"2026",Table_Query_from_MS_Access_Database[[#All],[Transaction Type]],"repayment in")</f>
        <v>215455</v>
      </c>
      <c r="W8" s="117">
        <f>SUMIFS(Table_Query_from_MS_Access_Database[[#All],[STP FLEX]],Table_Query_from_MS_Access_Database[[#All],[Transaction Year]],"2026",Table_Query_from_MS_Access_Database[[#All],[Transaction Type]],"repayment in")</f>
        <v>0</v>
      </c>
      <c r="X8" s="113">
        <f t="shared" si="0"/>
        <v>819814.35</v>
      </c>
      <c r="Y8" s="135">
        <f>SUMIFS(Table_Query_from_MS_Access_Database_16[[#All],[Total]],Table_Query_from_MS_Access_Database_16[[#All],[Transaction Year]],"2026",Table_Query_from_MS_Access_Database_16[[#All],[Transaction Type]],"repayment In")</f>
        <v>819814.35</v>
      </c>
    </row>
    <row r="9" spans="1:27" ht="16.5" customHeight="1">
      <c r="A9" s="208" t="s">
        <v>80</v>
      </c>
      <c r="B9" s="208"/>
      <c r="C9" s="208"/>
      <c r="D9" s="208"/>
      <c r="E9" s="208"/>
      <c r="F9" s="208"/>
      <c r="G9" s="208"/>
      <c r="H9" s="208"/>
      <c r="I9" s="208"/>
      <c r="J9" s="208"/>
      <c r="L9" s="114" t="s">
        <v>67</v>
      </c>
      <c r="M9" s="136">
        <f>SUMIFS(Table_Query_from_MS_Access_Database[[#All],[HURF Exchange]],Table_Query_from_MS_Access_Database[[#All],[Transaction Year]],"2026",Table_Query_from_MS_Access_Database[[#All],[Transaction Type]],"repayment out")</f>
        <v>0</v>
      </c>
      <c r="N9" s="171">
        <f>SUMIFS(Table_Query_from_MS_Access_Database[[#All],[HSIP]],Table_Query_from_MS_Access_Database[[#All],[Transaction Year]],"2026",Table_Query_from_MS_Access_Database[[#All],[Transaction Type]],"repayment out")</f>
        <v>0</v>
      </c>
      <c r="O9" s="171">
        <f>SUMIFS(Table_Query_from_MS_Access_Database[[#All],[PLAN]],Table_Query_from_MS_Access_Database[[#All],[Transaction Year]],"2026",Table_Query_from_MS_Access_Database[[#All],[Transaction Type]],"repayment out")</f>
        <v>0</v>
      </c>
      <c r="P9" s="171">
        <f>SUMIFS(Table_Query_from_MS_Access_Database[[#All],[PLAN SATO]],Table_Query_from_MS_Access_Database[[#All],[Transaction Year]],"2026",Table_Query_from_MS_Access_Database[[#All],[Transaction Type]],"repayment out")</f>
        <v>0</v>
      </c>
      <c r="Q9" s="171">
        <f>SUMIFS(Table_Query_from_MS_Access_Database[[#All],[SPR]],Table_Query_from_MS_Access_Database[[#All],[Transaction Year]],"2026",Table_Query_from_MS_Access_Database[[#All],[Transaction Type]],"repayment out")</f>
        <v>0</v>
      </c>
      <c r="R9" s="171">
        <f>SUMIFS(Table_Query_from_MS_Access_Database[[#All],[STP &lt;5]],Table_Query_from_MS_Access_Database[[#All],[Transaction Year]],"2026",Table_Query_from_MS_Access_Database[[#All],[Transaction Type]],"repayment out")</f>
        <v>-257054</v>
      </c>
      <c r="S9" s="171">
        <f>SUMIFS(Table_Query_from_MS_Access_Database[[#All],[STP 5-2]],Table_Query_from_MS_Access_Database[[#All],[Transaction Year]],"2026",Table_Query_from_MS_Access_Database[[#All],[Transaction Type]],"repayment out")</f>
        <v>0</v>
      </c>
      <c r="T9" s="171">
        <f>SUMIFS(Table_Query_from_MS_Access_Database[[#All],[STP 5-50]],Table_Query_from_MS_Access_Database[[#All],[Transaction Year]],"2026",Table_Query_from_MS_Access_Database[[#All],[Transaction Type]],"repayment out")</f>
        <v>0</v>
      </c>
      <c r="U9" s="171">
        <f>SUMIFS(Table_Query_from_MS_Access_Database[[#All],[STP 50-200]],Table_Query_from_MS_Access_Database[[#All],[Transaction Year]],"2026",Table_Query_from_MS_Access_Database[[#All],[Transaction Type]],"repayment out")</f>
        <v>0</v>
      </c>
      <c r="V9" s="171">
        <f>SUMIFS(Table_Query_from_MS_Access_Database[[#All],[CRP 50-200]],Table_Query_from_MS_Access_Database[[#All],[Transaction Year]],"2026",Table_Query_from_MS_Access_Database[[#All],[Transaction Type]],"repayment out")</f>
        <v>0</v>
      </c>
      <c r="W9" s="171">
        <f>SUMIFS(Table_Query_from_MS_Access_Database[[#All],[STP FLEX]],Table_Query_from_MS_Access_Database[[#All],[Transaction Year]],"2026",Table_Query_from_MS_Access_Database[[#All],[Transaction Type]],"repayment out")</f>
        <v>0</v>
      </c>
      <c r="X9" s="115">
        <f t="shared" si="0"/>
        <v>-257054</v>
      </c>
      <c r="Y9" s="136">
        <f>SUMIFS(Table_Query_from_MS_Access_Database_16[[#All],[Total]],Table_Query_from_MS_Access_Database_16[[#All],[Transaction Year]],"2026",Table_Query_from_MS_Access_Database_16[[#All],[Transaction Type]],"Repayment Out")</f>
        <v>-257054</v>
      </c>
    </row>
    <row r="10" spans="1:27">
      <c r="J10" s="25"/>
      <c r="K10" s="25"/>
      <c r="L10" s="111" t="s">
        <v>68</v>
      </c>
      <c r="M10" s="135">
        <f>SUMIFS(Table_Query_from_MS_Access_Database[[#All],[HURF Exchange]],Table_Query_from_MS_Access_Database[[#All],[Transaction Year]],"2026",Table_Query_from_MS_Access_Database[[#All],[Transaction Type]],"transfer in")</f>
        <v>0</v>
      </c>
      <c r="N10" s="117">
        <f>SUMIFS(Table_Query_from_MS_Access_Database[[#All],[HSIP]],Table_Query_from_MS_Access_Database[[#All],[Transaction Year]],"2026",Table_Query_from_MS_Access_Database[[#All],[Transaction Type]],"transfer in")</f>
        <v>0</v>
      </c>
      <c r="O10" s="117">
        <f>SUMIFS(Table_Query_from_MS_Access_Database[[#All],[PLAN]],Table_Query_from_MS_Access_Database[[#All],[Transaction Year]],"2026",Table_Query_from_MS_Access_Database[[#All],[Transaction Type]],"transfer in")</f>
        <v>0</v>
      </c>
      <c r="P10" s="117">
        <f>SUMIFS(Table_Query_from_MS_Access_Database[[#All],[PLAN SATO]],Table_Query_from_MS_Access_Database[[#All],[Transaction Year]],"2026",Table_Query_from_MS_Access_Database[[#All],[Transaction Type]],"transfer in")</f>
        <v>0</v>
      </c>
      <c r="Q10" s="117">
        <f>SUMIFS(Table_Query_from_MS_Access_Database[[#All],[SPR]],Table_Query_from_MS_Access_Database[[#All],[Transaction Year]],"2026",Table_Query_from_MS_Access_Database[[#All],[Transaction Type]],"transfer in")</f>
        <v>0</v>
      </c>
      <c r="R10" s="117">
        <f>SUMIFS(Table_Query_from_MS_Access_Database[[#All],[STP &lt;5]],Table_Query_from_MS_Access_Database[[#All],[Transaction Year]],"2026",Table_Query_from_MS_Access_Database[[#All],[Transaction Type]],"transfer in")</f>
        <v>0</v>
      </c>
      <c r="S10" s="117">
        <f>SUMIFS(Table_Query_from_MS_Access_Database[[#All],[STP 5-2]],Table_Query_from_MS_Access_Database[[#All],[Transaction Year]],"2026",Table_Query_from_MS_Access_Database[[#All],[Transaction Type]],"transfer in")</f>
        <v>0</v>
      </c>
      <c r="T10" s="117">
        <f>SUMIFS(Table_Query_from_MS_Access_Database[[#All],[STP 5-50]],Table_Query_from_MS_Access_Database[[#All],[Transaction Year]],"2026",Table_Query_from_MS_Access_Database[[#All],[Transaction Type]],"transfer in")</f>
        <v>0</v>
      </c>
      <c r="U10" s="117">
        <f>SUMIFS(Table_Query_from_MS_Access_Database[[#All],[STP 50-200]],Table_Query_from_MS_Access_Database[[#All],[Transaction Year]],"2026",Table_Query_from_MS_Access_Database[[#All],[Transaction Type]],"transfer in")</f>
        <v>0</v>
      </c>
      <c r="V10" s="117">
        <f>SUMIFS(Table_Query_from_MS_Access_Database[[#All],[CRP 50-200]],Table_Query_from_MS_Access_Database[[#All],[Transaction Year]],"2026",Table_Query_from_MS_Access_Database[[#All],[Transaction Type]],"transfer in")</f>
        <v>0</v>
      </c>
      <c r="W10" s="117">
        <f>SUMIFS(Table_Query_from_MS_Access_Database[[#All],[STP FLEX]],Table_Query_from_MS_Access_Database[[#All],[Transaction Year]],"2026",Table_Query_from_MS_Access_Database[[#All],[Transaction Type]],"transfer in")</f>
        <v>0</v>
      </c>
      <c r="X10" s="113">
        <f t="shared" si="0"/>
        <v>0</v>
      </c>
      <c r="Y10" s="135">
        <f>SUMIFS(Table_Query_from_MS_Access_Database_16[[#All],[Total]],Table_Query_from_MS_Access_Database_16[[#All],[Transaction Year]],"2026",Table_Query_from_MS_Access_Database_16[[#All],[Transaction Type]],"Transfer In")</f>
        <v>0</v>
      </c>
    </row>
    <row r="11" spans="1:27">
      <c r="F11" s="32"/>
      <c r="G11" s="32"/>
      <c r="J11" s="25"/>
      <c r="K11" s="25"/>
      <c r="L11" s="114" t="s">
        <v>69</v>
      </c>
      <c r="M11" s="172">
        <f>SUMIFS(Table_Query_from_MS_Access_Database[[#All],[HURF Exchange]],Table_Query_from_MS_Access_Database[[#All],[Transaction Year]],"2026",Table_Query_from_MS_Access_Database[[#All],[Transaction Type]],"transfer out")</f>
        <v>0</v>
      </c>
      <c r="N11" s="171">
        <f>SUMIFS(Table_Query_from_MS_Access_Database[[#All],[HSIP]],Table_Query_from_MS_Access_Database[[#All],[Transaction Year]],"2026",Table_Query_from_MS_Access_Database[[#All],[Transaction Type]],"transfer out")</f>
        <v>0</v>
      </c>
      <c r="O11" s="171">
        <f>SUMIFS(Table_Query_from_MS_Access_Database[[#All],[PLAN]],Table_Query_from_MS_Access_Database[[#All],[Transaction Year]],"2026",Table_Query_from_MS_Access_Database[[#All],[Transaction Type]],"transfer out")</f>
        <v>0</v>
      </c>
      <c r="P11" s="171">
        <f>SUMIFS(Table_Query_from_MS_Access_Database[[#All],[PLAN SATO]],Table_Query_from_MS_Access_Database[[#All],[Transaction Year]],"2026",Table_Query_from_MS_Access_Database[[#All],[Transaction Type]],"transfer out")</f>
        <v>0</v>
      </c>
      <c r="Q11" s="171">
        <f>SUMIFS(Table_Query_from_MS_Access_Database[[#All],[SPR]],Table_Query_from_MS_Access_Database[[#All],[Transaction Year]],"2026",Table_Query_from_MS_Access_Database[[#All],[Transaction Type]],"transfer out")</f>
        <v>0</v>
      </c>
      <c r="R11" s="171">
        <f>SUMIFS(Table_Query_from_MS_Access_Database[[#All],[STP &lt;5]],Table_Query_from_MS_Access_Database[[#All],[Transaction Year]],"2026",Table_Query_from_MS_Access_Database[[#All],[Transaction Type]],"transfer out")</f>
        <v>0</v>
      </c>
      <c r="S11" s="171">
        <f>SUMIFS(Table_Query_from_MS_Access_Database[[#All],[STP 5-2]],Table_Query_from_MS_Access_Database[[#All],[Transaction Year]],"2026",Table_Query_from_MS_Access_Database[[#All],[Transaction Type]],"transfer out")</f>
        <v>0</v>
      </c>
      <c r="T11" s="171">
        <f>SUMIFS(Table_Query_from_MS_Access_Database[[#All],[STP 5-50]],Table_Query_from_MS_Access_Database[[#All],[Transaction Year]],"2026",Table_Query_from_MS_Access_Database[[#All],[Transaction Type]],"transfer out")</f>
        <v>0</v>
      </c>
      <c r="U11" s="171">
        <f>SUMIFS(Table_Query_from_MS_Access_Database[[#All],[STP 50-200]],Table_Query_from_MS_Access_Database[[#All],[Transaction Year]],"2026",Table_Query_from_MS_Access_Database[[#All],[Transaction Type]],"transfer out")</f>
        <v>0</v>
      </c>
      <c r="V11" s="171">
        <f>SUMIFS(Table_Query_from_MS_Access_Database[[#All],[CRP 50-200]],Table_Query_from_MS_Access_Database[[#All],[Transaction Year]],"2026",Table_Query_from_MS_Access_Database[[#All],[Transaction Type]],"transfer out")</f>
        <v>0</v>
      </c>
      <c r="W11" s="171">
        <f>SUMIFS(Table_Query_from_MS_Access_Database[[#All],[STP FLEX]],Table_Query_from_MS_Access_Database[[#All],[Transaction Year]],"2026",Table_Query_from_MS_Access_Database[[#All],[Transaction Type]],"transfer out")</f>
        <v>0</v>
      </c>
      <c r="X11" s="115">
        <f t="shared" si="0"/>
        <v>0</v>
      </c>
      <c r="Y11" s="136">
        <f>SUMIFS(Table_Query_from_MS_Access_Database_16[[#All],[Total]],Table_Query_from_MS_Access_Database_16[[#All],[Transaction Year]],"2026",Table_Query_from_MS_Access_Database_16[[#All],[Transaction Type]],"Transfer Out")</f>
        <v>0</v>
      </c>
    </row>
    <row r="12" spans="1:27" ht="24">
      <c r="J12" s="25"/>
      <c r="K12" s="25"/>
      <c r="L12" s="118" t="s">
        <v>101</v>
      </c>
      <c r="M12" s="119">
        <f t="shared" ref="M12" si="1">SUM(M4:M11)</f>
        <v>0</v>
      </c>
      <c r="N12" s="120">
        <f>SUM(N4:N11)</f>
        <v>0</v>
      </c>
      <c r="O12" s="120">
        <f>SUM(O4:O11)</f>
        <v>162938</v>
      </c>
      <c r="P12" s="120">
        <f t="shared" ref="P12:W12" si="2">SUM(P4:P11)</f>
        <v>4178</v>
      </c>
      <c r="Q12" s="120">
        <f t="shared" si="2"/>
        <v>125000</v>
      </c>
      <c r="R12" s="120">
        <f t="shared" si="2"/>
        <v>331490.34999999998</v>
      </c>
      <c r="S12" s="120">
        <f t="shared" si="2"/>
        <v>0</v>
      </c>
      <c r="T12" s="120">
        <f t="shared" si="2"/>
        <v>0</v>
      </c>
      <c r="U12" s="120">
        <f t="shared" si="2"/>
        <v>280268</v>
      </c>
      <c r="V12" s="120">
        <f>SUM(V4:V11)</f>
        <v>408377</v>
      </c>
      <c r="W12" s="120">
        <f t="shared" si="2"/>
        <v>0</v>
      </c>
      <c r="X12" s="120">
        <f t="shared" si="0"/>
        <v>1312251.3500000001</v>
      </c>
      <c r="Y12" s="137">
        <f>SUM(Y4:Y11)</f>
        <v>1199916.3500000001</v>
      </c>
    </row>
    <row r="13" spans="1:27">
      <c r="J13" s="25"/>
      <c r="K13" s="25"/>
      <c r="L13" s="25"/>
      <c r="M13" s="25"/>
      <c r="N13" s="33"/>
      <c r="O13" s="34"/>
      <c r="P13" s="34"/>
      <c r="Q13" s="34"/>
      <c r="R13" s="34"/>
      <c r="S13" s="34"/>
      <c r="T13" s="30"/>
    </row>
    <row r="14" spans="1:27" ht="15.75" customHeight="1">
      <c r="A14" s="212" t="s">
        <v>57</v>
      </c>
      <c r="B14" s="212"/>
      <c r="C14" s="212"/>
      <c r="D14" s="212"/>
      <c r="I14" s="205" t="s">
        <v>58</v>
      </c>
      <c r="J14" s="206"/>
      <c r="K14" s="206"/>
      <c r="L14" s="207"/>
      <c r="N14" s="35"/>
      <c r="R14" s="30"/>
      <c r="S14" s="30"/>
      <c r="T14" s="30"/>
    </row>
    <row r="15" spans="1:27" ht="22.8" customHeight="1">
      <c r="A15" s="59" t="s">
        <v>1</v>
      </c>
      <c r="B15" s="59" t="s">
        <v>0</v>
      </c>
      <c r="C15" s="59" t="s">
        <v>3</v>
      </c>
      <c r="D15" s="59" t="s">
        <v>77</v>
      </c>
      <c r="E15" s="59" t="s">
        <v>2</v>
      </c>
      <c r="F15" s="59" t="s">
        <v>44</v>
      </c>
      <c r="G15" s="59" t="s">
        <v>45</v>
      </c>
      <c r="H15" s="59" t="s">
        <v>46</v>
      </c>
      <c r="I15" s="157" t="s">
        <v>47</v>
      </c>
      <c r="J15" s="157" t="s">
        <v>48</v>
      </c>
      <c r="K15" s="156" t="s">
        <v>49</v>
      </c>
      <c r="L15" s="155" t="s">
        <v>50</v>
      </c>
      <c r="M15" s="157" t="s">
        <v>140</v>
      </c>
      <c r="N15" s="59" t="s">
        <v>4</v>
      </c>
      <c r="O15" s="157" t="s">
        <v>40</v>
      </c>
      <c r="P15" s="59" t="s">
        <v>200</v>
      </c>
      <c r="Q15" s="59" t="s">
        <v>5</v>
      </c>
      <c r="R15" s="156" t="s">
        <v>98</v>
      </c>
      <c r="S15" s="156" t="s">
        <v>139</v>
      </c>
      <c r="T15" s="156" t="s">
        <v>201</v>
      </c>
      <c r="U15" s="155" t="s">
        <v>202</v>
      </c>
      <c r="V15" s="155" t="s">
        <v>203</v>
      </c>
      <c r="W15" s="144" t="s">
        <v>6</v>
      </c>
      <c r="X15" s="151" t="s">
        <v>78</v>
      </c>
      <c r="Y15" s="151" t="s">
        <v>85</v>
      </c>
    </row>
    <row r="16" spans="1:27" s="38" customFormat="1" ht="11.4">
      <c r="A16" s="38" t="s">
        <v>263</v>
      </c>
      <c r="B16" s="38" t="s">
        <v>220</v>
      </c>
      <c r="C16" s="38" t="s">
        <v>104</v>
      </c>
      <c r="D16" s="38" t="s">
        <v>22</v>
      </c>
      <c r="E16" s="105" t="s">
        <v>264</v>
      </c>
      <c r="F16" s="57" t="s">
        <v>257</v>
      </c>
      <c r="G16" s="57" t="s">
        <v>259</v>
      </c>
      <c r="H16" s="57" t="s">
        <v>262</v>
      </c>
      <c r="I16" s="148">
        <v>45931</v>
      </c>
      <c r="J16" s="93">
        <v>45931</v>
      </c>
      <c r="K16" s="93">
        <v>45931</v>
      </c>
      <c r="L16" s="93">
        <v>45931</v>
      </c>
      <c r="M16" s="93"/>
      <c r="N16" s="94"/>
      <c r="O16" s="94">
        <v>119088.85</v>
      </c>
      <c r="P16" s="94"/>
      <c r="Q16" s="94"/>
      <c r="R16" s="94"/>
      <c r="S16" s="69"/>
      <c r="T16" s="69"/>
      <c r="U16" s="69"/>
      <c r="V16" s="69"/>
      <c r="W16" s="143"/>
      <c r="X16" s="162">
        <f>SUM(Table_Query_from_MS_Access_Database8[[#This Row],[HURF EX]:[STP other]])</f>
        <v>119088.85</v>
      </c>
      <c r="Y16" s="162">
        <f ca="1">IF(ISTEXT(INDIRECT(ADDRESS(ROW()-1,COLUMN()))), INDIRECT(ADDRESS(12,COLUMN())),INDIRECT(ADDRESS(ROW()-1,COLUMN())))-Table_Query_from_MS_Access_Database8[[#This Row],[TOTAL OF AMOUNT]]</f>
        <v>1080827.5</v>
      </c>
    </row>
    <row r="17" spans="1:28" s="38" customFormat="1" ht="13.5" customHeight="1">
      <c r="A17" s="38" t="s">
        <v>260</v>
      </c>
      <c r="B17" s="38" t="s">
        <v>220</v>
      </c>
      <c r="C17" s="38" t="s">
        <v>104</v>
      </c>
      <c r="D17" s="38" t="s">
        <v>22</v>
      </c>
      <c r="E17" s="105" t="s">
        <v>261</v>
      </c>
      <c r="F17" s="57" t="s">
        <v>257</v>
      </c>
      <c r="G17" s="57" t="s">
        <v>258</v>
      </c>
      <c r="H17" s="57" t="s">
        <v>262</v>
      </c>
      <c r="I17" s="148">
        <v>45931</v>
      </c>
      <c r="J17" s="93">
        <v>45931</v>
      </c>
      <c r="K17" s="93">
        <v>45931</v>
      </c>
      <c r="L17" s="93">
        <v>45931</v>
      </c>
      <c r="M17" s="93"/>
      <c r="N17" s="94"/>
      <c r="O17" s="94"/>
      <c r="P17" s="94"/>
      <c r="Q17" s="94">
        <v>93750</v>
      </c>
      <c r="R17" s="94"/>
      <c r="S17" s="69"/>
      <c r="T17" s="69"/>
      <c r="U17" s="69"/>
      <c r="V17" s="69"/>
      <c r="W17" s="180"/>
      <c r="X17" s="162">
        <f>SUM(Table_Query_from_MS_Access_Database8[[#This Row],[HURF EX]:[STP other]])</f>
        <v>93750</v>
      </c>
      <c r="Y17" s="162">
        <f ca="1">IF(ISTEXT(INDIRECT(ADDRESS(ROW()-1,COLUMN()))), INDIRECT(ADDRESS(12,COLUMN())),INDIRECT(ADDRESS(ROW()-1,COLUMN())))-Table_Query_from_MS_Access_Database8[[#This Row],[TOTAL OF AMOUNT]]</f>
        <v>987077.5</v>
      </c>
    </row>
    <row r="18" spans="1:28" s="38" customFormat="1" ht="13.5" customHeight="1">
      <c r="A18" s="38" t="s">
        <v>283</v>
      </c>
      <c r="B18" s="38" t="s">
        <v>220</v>
      </c>
      <c r="C18" s="38" t="s">
        <v>104</v>
      </c>
      <c r="D18" s="38" t="s">
        <v>8</v>
      </c>
      <c r="E18" s="105" t="s">
        <v>265</v>
      </c>
      <c r="F18" s="57" t="s">
        <v>257</v>
      </c>
      <c r="G18" s="57" t="s">
        <v>259</v>
      </c>
      <c r="H18" s="57" t="s">
        <v>262</v>
      </c>
      <c r="I18" s="148"/>
      <c r="J18" s="93">
        <v>45945</v>
      </c>
      <c r="K18" s="93">
        <v>45954</v>
      </c>
      <c r="L18" s="93">
        <v>45958</v>
      </c>
      <c r="M18" s="93"/>
      <c r="N18" s="94"/>
      <c r="O18" s="94"/>
      <c r="P18" s="94">
        <v>3937</v>
      </c>
      <c r="Q18" s="94"/>
      <c r="R18" s="94"/>
      <c r="S18" s="69"/>
      <c r="T18" s="69"/>
      <c r="U18" s="69"/>
      <c r="V18" s="69"/>
      <c r="W18" s="180"/>
      <c r="X18" s="162">
        <f>SUM(Table_Query_from_MS_Access_Database8[[#This Row],[HURF EX]:[STP other]])</f>
        <v>3937</v>
      </c>
      <c r="Y18" s="162">
        <f ca="1">IF(ISTEXT(INDIRECT(ADDRESS(ROW()-1,COLUMN()))), INDIRECT(ADDRESS(12,COLUMN())),INDIRECT(ADDRESS(ROW()-1,COLUMN())))-Table_Query_from_MS_Access_Database8[[#This Row],[TOTAL OF AMOUNT]]</f>
        <v>983140.5</v>
      </c>
    </row>
    <row r="19" spans="1:28" s="38" customFormat="1" ht="11.4" customHeight="1">
      <c r="A19" s="38" t="s">
        <v>263</v>
      </c>
      <c r="B19" s="38" t="s">
        <v>220</v>
      </c>
      <c r="C19" s="38" t="s">
        <v>104</v>
      </c>
      <c r="D19" s="38" t="s">
        <v>8</v>
      </c>
      <c r="E19" s="105" t="s">
        <v>264</v>
      </c>
      <c r="F19" s="57" t="s">
        <v>257</v>
      </c>
      <c r="G19" s="57" t="s">
        <v>259</v>
      </c>
      <c r="H19" s="57" t="s">
        <v>262</v>
      </c>
      <c r="I19" s="148">
        <v>45945</v>
      </c>
      <c r="J19" s="93">
        <v>45945</v>
      </c>
      <c r="K19" s="93">
        <v>45954</v>
      </c>
      <c r="L19" s="93">
        <v>45958</v>
      </c>
      <c r="M19" s="93"/>
      <c r="N19" s="94"/>
      <c r="O19" s="94">
        <v>7100.95</v>
      </c>
      <c r="P19" s="94"/>
      <c r="Q19" s="94"/>
      <c r="R19" s="94"/>
      <c r="S19" s="69"/>
      <c r="T19" s="69"/>
      <c r="U19" s="69"/>
      <c r="V19" s="69"/>
      <c r="W19" s="180"/>
      <c r="X19" s="162">
        <f>SUM(Table_Query_from_MS_Access_Database8[[#This Row],[HURF EX]:[STP other]])</f>
        <v>7100.95</v>
      </c>
      <c r="Y19" s="162">
        <f ca="1">IF(ISTEXT(INDIRECT(ADDRESS(ROW()-1,COLUMN()))), INDIRECT(ADDRESS(12,COLUMN())),INDIRECT(ADDRESS(ROW()-1,COLUMN())))-Table_Query_from_MS_Access_Database8[[#This Row],[TOTAL OF AMOUNT]]</f>
        <v>976039.55</v>
      </c>
    </row>
    <row r="20" spans="1:28" s="38" customFormat="1" ht="11.4" customHeight="1">
      <c r="A20" s="38" t="s">
        <v>260</v>
      </c>
      <c r="B20" s="38" t="s">
        <v>220</v>
      </c>
      <c r="C20" s="38" t="s">
        <v>104</v>
      </c>
      <c r="D20" s="38" t="s">
        <v>8</v>
      </c>
      <c r="E20" s="105" t="s">
        <v>261</v>
      </c>
      <c r="F20" s="57" t="s">
        <v>257</v>
      </c>
      <c r="G20" s="57" t="s">
        <v>258</v>
      </c>
      <c r="H20" s="57" t="s">
        <v>262</v>
      </c>
      <c r="I20" s="148"/>
      <c r="J20" s="93">
        <v>45945</v>
      </c>
      <c r="K20" s="93">
        <v>45953</v>
      </c>
      <c r="L20" s="93">
        <v>45958</v>
      </c>
      <c r="M20" s="93"/>
      <c r="N20" s="94"/>
      <c r="O20" s="94"/>
      <c r="P20" s="94"/>
      <c r="Q20" s="94">
        <v>90396.06</v>
      </c>
      <c r="R20" s="94"/>
      <c r="S20" s="69"/>
      <c r="T20" s="69"/>
      <c r="U20" s="69"/>
      <c r="V20" s="69"/>
      <c r="W20" s="180"/>
      <c r="X20" s="162">
        <f>SUM(Table_Query_from_MS_Access_Database8[[#This Row],[HURF EX]:[STP other]])</f>
        <v>90396.06</v>
      </c>
      <c r="Y20" s="162">
        <f ca="1">IF(ISTEXT(INDIRECT(ADDRESS(ROW()-1,COLUMN()))), INDIRECT(ADDRESS(12,COLUMN())),INDIRECT(ADDRESS(ROW()-1,COLUMN())))-Table_Query_from_MS_Access_Database8[[#This Row],[TOTAL OF AMOUNT]]</f>
        <v>885643.49</v>
      </c>
    </row>
    <row r="21" spans="1:28" s="38" customFormat="1" ht="11.4" customHeight="1">
      <c r="A21" s="38" t="s">
        <v>310</v>
      </c>
      <c r="C21" s="38" t="s">
        <v>104</v>
      </c>
      <c r="D21" s="38" t="s">
        <v>8</v>
      </c>
      <c r="E21" s="105" t="s">
        <v>311</v>
      </c>
      <c r="F21" s="57" t="s">
        <v>257</v>
      </c>
      <c r="G21" s="57" t="s">
        <v>259</v>
      </c>
      <c r="H21" s="57" t="s">
        <v>312</v>
      </c>
      <c r="I21" s="148"/>
      <c r="J21" s="93">
        <v>45945</v>
      </c>
      <c r="K21" s="93">
        <v>45953</v>
      </c>
      <c r="L21" s="93">
        <v>45958</v>
      </c>
      <c r="M21" s="93"/>
      <c r="N21" s="94"/>
      <c r="O21" s="94"/>
      <c r="P21" s="94">
        <v>-3937</v>
      </c>
      <c r="Q21" s="94"/>
      <c r="R21" s="94"/>
      <c r="S21" s="69"/>
      <c r="T21" s="69"/>
      <c r="U21" s="69"/>
      <c r="V21" s="69"/>
      <c r="W21" s="180"/>
      <c r="X21" s="162">
        <f>SUM(Table_Query_from_MS_Access_Database8[[#This Row],[HURF EX]:[STP other]])</f>
        <v>-3937</v>
      </c>
      <c r="Y21" s="162">
        <f ca="1">IF(ISTEXT(INDIRECT(ADDRESS(ROW()-1,COLUMN()))), INDIRECT(ADDRESS(12,COLUMN())),INDIRECT(ADDRESS(ROW()-1,COLUMN())))-Table_Query_from_MS_Access_Database8[[#This Row],[TOTAL OF AMOUNT]]</f>
        <v>889580.49</v>
      </c>
    </row>
    <row r="22" spans="1:28" s="38" customFormat="1" ht="11.4" customHeight="1">
      <c r="A22" s="38" t="s">
        <v>313</v>
      </c>
      <c r="B22" s="38" t="s">
        <v>220</v>
      </c>
      <c r="C22" s="38" t="s">
        <v>104</v>
      </c>
      <c r="D22" s="38" t="s">
        <v>8</v>
      </c>
      <c r="E22" s="105" t="s">
        <v>314</v>
      </c>
      <c r="F22" s="57" t="s">
        <v>257</v>
      </c>
      <c r="G22" s="57" t="s">
        <v>259</v>
      </c>
      <c r="H22" s="57" t="s">
        <v>312</v>
      </c>
      <c r="I22" s="148">
        <v>45945</v>
      </c>
      <c r="J22" s="93">
        <v>45945</v>
      </c>
      <c r="K22" s="93">
        <v>45953</v>
      </c>
      <c r="L22" s="93">
        <v>45958</v>
      </c>
      <c r="M22" s="93"/>
      <c r="N22" s="94"/>
      <c r="O22" s="94">
        <v>-7100.95</v>
      </c>
      <c r="P22" s="94"/>
      <c r="Q22" s="94"/>
      <c r="R22" s="94"/>
      <c r="S22" s="69"/>
      <c r="T22" s="69"/>
      <c r="U22" s="69"/>
      <c r="V22" s="69"/>
      <c r="W22" s="180"/>
      <c r="X22" s="162">
        <f>SUM(Table_Query_from_MS_Access_Database8[[#This Row],[HURF EX]:[STP other]])</f>
        <v>-7100.95</v>
      </c>
      <c r="Y22" s="162">
        <f ca="1">IF(ISTEXT(INDIRECT(ADDRESS(ROW()-1,COLUMN()))), INDIRECT(ADDRESS(12,COLUMN())),INDIRECT(ADDRESS(ROW()-1,COLUMN())))-Table_Query_from_MS_Access_Database8[[#This Row],[TOTAL OF AMOUNT]]</f>
        <v>896681.44</v>
      </c>
    </row>
    <row r="23" spans="1:28" s="38" customFormat="1" ht="13.2" customHeight="1">
      <c r="A23" s="38" t="s">
        <v>315</v>
      </c>
      <c r="B23" s="38" t="s">
        <v>220</v>
      </c>
      <c r="C23" s="38" t="s">
        <v>104</v>
      </c>
      <c r="D23" s="38" t="s">
        <v>22</v>
      </c>
      <c r="E23" s="105" t="s">
        <v>316</v>
      </c>
      <c r="F23" s="57" t="s">
        <v>257</v>
      </c>
      <c r="G23" s="57" t="s">
        <v>258</v>
      </c>
      <c r="H23" s="57" t="s">
        <v>312</v>
      </c>
      <c r="I23" s="148"/>
      <c r="J23" s="93">
        <v>45945</v>
      </c>
      <c r="K23" s="93">
        <v>45953</v>
      </c>
      <c r="L23" s="93">
        <v>45958</v>
      </c>
      <c r="M23" s="93"/>
      <c r="N23" s="94"/>
      <c r="O23" s="94"/>
      <c r="P23" s="94"/>
      <c r="Q23" s="94">
        <v>-90396.06</v>
      </c>
      <c r="R23" s="94"/>
      <c r="S23" s="69"/>
      <c r="T23" s="69"/>
      <c r="U23" s="69"/>
      <c r="V23" s="69"/>
      <c r="W23" s="180"/>
      <c r="X23" s="162">
        <f>SUM(Table_Query_from_MS_Access_Database8[[#This Row],[HURF EX]:[STP other]])</f>
        <v>-90396.06</v>
      </c>
      <c r="Y23" s="162">
        <f ca="1">IF(ISTEXT(INDIRECT(ADDRESS(ROW()-1,COLUMN()))), INDIRECT(ADDRESS(12,COLUMN())),INDIRECT(ADDRESS(ROW()-1,COLUMN())))-Table_Query_from_MS_Access_Database8[[#This Row],[TOTAL OF AMOUNT]]</f>
        <v>987077.5</v>
      </c>
      <c r="AB23" s="186"/>
    </row>
    <row r="24" spans="1:28" s="38" customFormat="1" ht="13.2" customHeight="1">
      <c r="A24" s="38" t="s">
        <v>317</v>
      </c>
      <c r="C24" s="38" t="s">
        <v>104</v>
      </c>
      <c r="D24" s="38" t="s">
        <v>7</v>
      </c>
      <c r="E24" s="105" t="s">
        <v>318</v>
      </c>
      <c r="F24" s="57" t="s">
        <v>257</v>
      </c>
      <c r="G24" s="57" t="s">
        <v>319</v>
      </c>
      <c r="H24" s="57" t="s">
        <v>262</v>
      </c>
      <c r="I24" s="148"/>
      <c r="J24" s="93">
        <v>45953</v>
      </c>
      <c r="K24" s="93">
        <v>45960</v>
      </c>
      <c r="L24" s="93">
        <v>45961</v>
      </c>
      <c r="M24" s="93"/>
      <c r="N24" s="94"/>
      <c r="O24" s="94"/>
      <c r="P24" s="94"/>
      <c r="Q24" s="94"/>
      <c r="R24" s="94"/>
      <c r="S24" s="69"/>
      <c r="T24" s="69"/>
      <c r="U24" s="69"/>
      <c r="V24" s="69">
        <v>750.02</v>
      </c>
      <c r="W24" s="180"/>
      <c r="X24" s="162">
        <f>SUM(Table_Query_from_MS_Access_Database8[[#This Row],[HURF EX]:[STP other]])</f>
        <v>750.02</v>
      </c>
      <c r="Y24" s="162">
        <f ca="1">IF(ISTEXT(INDIRECT(ADDRESS(ROW()-1,COLUMN()))), INDIRECT(ADDRESS(12,COLUMN())),INDIRECT(ADDRESS(ROW()-1,COLUMN())))-Table_Query_from_MS_Access_Database8[[#This Row],[TOTAL OF AMOUNT]]</f>
        <v>986327.48</v>
      </c>
    </row>
    <row r="25" spans="1:28" s="38" customFormat="1" ht="11.4" customHeight="1">
      <c r="A25" s="38" t="s">
        <v>320</v>
      </c>
      <c r="B25" s="38" t="s">
        <v>220</v>
      </c>
      <c r="C25" s="38" t="s">
        <v>321</v>
      </c>
      <c r="D25" s="38" t="s">
        <v>8</v>
      </c>
      <c r="E25" s="105" t="s">
        <v>322</v>
      </c>
      <c r="F25" s="57" t="s">
        <v>257</v>
      </c>
      <c r="G25" s="57" t="s">
        <v>319</v>
      </c>
      <c r="H25" s="57" t="s">
        <v>312</v>
      </c>
      <c r="I25" s="148"/>
      <c r="J25" s="93">
        <v>45953</v>
      </c>
      <c r="K25" s="93">
        <v>45960</v>
      </c>
      <c r="L25" s="93">
        <v>45961</v>
      </c>
      <c r="M25" s="93"/>
      <c r="N25" s="94"/>
      <c r="O25" s="94"/>
      <c r="P25" s="94"/>
      <c r="Q25" s="94"/>
      <c r="R25" s="94"/>
      <c r="S25" s="69"/>
      <c r="T25" s="69"/>
      <c r="U25" s="69"/>
      <c r="V25" s="69">
        <v>-750.02</v>
      </c>
      <c r="W25" s="180"/>
      <c r="X25" s="162">
        <f>SUM(Table_Query_from_MS_Access_Database8[[#This Row],[HURF EX]:[STP other]])</f>
        <v>-750.02</v>
      </c>
      <c r="Y25" s="162">
        <f ca="1">IF(ISTEXT(INDIRECT(ADDRESS(ROW()-1,COLUMN()))), INDIRECT(ADDRESS(12,COLUMN())),INDIRECT(ADDRESS(ROW()-1,COLUMN())))-Table_Query_from_MS_Access_Database8[[#This Row],[TOTAL OF AMOUNT]]</f>
        <v>987077.5</v>
      </c>
      <c r="AB25" s="186"/>
    </row>
    <row r="26" spans="1:28" s="38" customFormat="1" ht="13.2" customHeight="1">
      <c r="A26" s="38" t="s">
        <v>298</v>
      </c>
      <c r="B26" s="38" t="s">
        <v>323</v>
      </c>
      <c r="C26" s="38" t="s">
        <v>285</v>
      </c>
      <c r="D26" s="38" t="s">
        <v>7</v>
      </c>
      <c r="E26" s="105" t="s">
        <v>299</v>
      </c>
      <c r="F26" s="57" t="s">
        <v>300</v>
      </c>
      <c r="G26" s="57" t="s">
        <v>324</v>
      </c>
      <c r="H26" s="57" t="s">
        <v>325</v>
      </c>
      <c r="I26" s="148">
        <v>45962</v>
      </c>
      <c r="J26" s="93">
        <v>45992</v>
      </c>
      <c r="K26" s="93">
        <v>45993</v>
      </c>
      <c r="L26" s="93">
        <v>45999</v>
      </c>
      <c r="M26" s="93"/>
      <c r="N26" s="94"/>
      <c r="O26" s="94"/>
      <c r="P26" s="94"/>
      <c r="Q26" s="94"/>
      <c r="R26" s="94">
        <v>500000</v>
      </c>
      <c r="S26" s="69"/>
      <c r="T26" s="69"/>
      <c r="U26" s="69"/>
      <c r="V26" s="69"/>
      <c r="W26" s="180"/>
      <c r="X26" s="162">
        <f>SUM(Table_Query_from_MS_Access_Database8[[#This Row],[HURF EX]:[STP other]])</f>
        <v>500000</v>
      </c>
      <c r="Y26" s="162">
        <f ca="1">IF(ISTEXT(INDIRECT(ADDRESS(ROW()-1,COLUMN()))), INDIRECT(ADDRESS(12,COLUMN())),INDIRECT(ADDRESS(ROW()-1,COLUMN())))-Table_Query_from_MS_Access_Database8[[#This Row],[TOTAL OF AMOUNT]]</f>
        <v>487077.5</v>
      </c>
    </row>
    <row r="27" spans="1:28" s="38" customFormat="1" ht="11.4" customHeight="1">
      <c r="A27" s="38" t="s">
        <v>281</v>
      </c>
      <c r="B27" s="38" t="s">
        <v>220</v>
      </c>
      <c r="C27" s="38" t="s">
        <v>104</v>
      </c>
      <c r="D27" s="38" t="s">
        <v>21</v>
      </c>
      <c r="E27" s="105" t="s">
        <v>282</v>
      </c>
      <c r="F27" s="57" t="s">
        <v>257</v>
      </c>
      <c r="G27" s="57" t="s">
        <v>326</v>
      </c>
      <c r="H27" s="57" t="s">
        <v>262</v>
      </c>
      <c r="I27" s="148">
        <v>45931</v>
      </c>
      <c r="J27" s="93">
        <v>45995</v>
      </c>
      <c r="K27" s="93">
        <v>46000</v>
      </c>
      <c r="L27" s="93">
        <v>46001</v>
      </c>
      <c r="M27" s="93"/>
      <c r="N27" s="94"/>
      <c r="O27" s="94"/>
      <c r="P27" s="94"/>
      <c r="Q27" s="94"/>
      <c r="R27" s="94"/>
      <c r="S27" s="69"/>
      <c r="T27" s="69"/>
      <c r="U27" s="69">
        <v>93000</v>
      </c>
      <c r="V27" s="69"/>
      <c r="W27" s="180"/>
      <c r="X27" s="162">
        <f>SUM(Table_Query_from_MS_Access_Database8[[#This Row],[HURF EX]:[STP other]])</f>
        <v>93000</v>
      </c>
      <c r="Y27" s="162">
        <f ca="1">IF(ISTEXT(INDIRECT(ADDRESS(ROW()-1,COLUMN()))), INDIRECT(ADDRESS(12,COLUMN())),INDIRECT(ADDRESS(ROW()-1,COLUMN())))-Table_Query_from_MS_Access_Database8[[#This Row],[TOTAL OF AMOUNT]]</f>
        <v>394077.5</v>
      </c>
      <c r="AB27" s="186"/>
    </row>
    <row r="28" spans="1:28" s="38" customFormat="1" ht="12">
      <c r="E28" s="36"/>
      <c r="F28" s="36"/>
      <c r="G28" s="36"/>
      <c r="H28" s="36"/>
      <c r="I28" s="36"/>
      <c r="J28" s="36"/>
      <c r="K28" s="36"/>
      <c r="L28" s="175" t="s">
        <v>71</v>
      </c>
      <c r="M28" s="70">
        <f>SUM(Table_Query_from_MS_Access_Database8[[#All],[HURF EX]])</f>
        <v>0</v>
      </c>
      <c r="N28" s="70">
        <f>SUM(Table_Query_from_MS_Access_Database8[[#All],[HSIP]])</f>
        <v>0</v>
      </c>
      <c r="O28" s="70">
        <f>SUM(Table_Query_from_MS_Access_Database8[[#All],[PL]])</f>
        <v>119088.85</v>
      </c>
      <c r="P28" s="70">
        <f>SUM(Table_Query_from_MS_Access_Database8[[#All],[PL-SATO]])</f>
        <v>0</v>
      </c>
      <c r="Q28" s="70">
        <f>SUM(Table_Query_from_MS_Access_Database8[[#All],[SPR]])</f>
        <v>93750</v>
      </c>
      <c r="R28" s="70">
        <f>SUM(Table_Query_from_MS_Access_Database8[[#All],[STP &lt;5]])</f>
        <v>500000</v>
      </c>
      <c r="S28" s="70">
        <f>SUM(Table_Query_from_MS_Access_Database8[[#All],[STP 5-200]])</f>
        <v>0</v>
      </c>
      <c r="T28" s="70">
        <f>SUM(Table_Query_from_MS_Access_Database8[[#All],[STP 5-50]])</f>
        <v>0</v>
      </c>
      <c r="U28" s="70">
        <f>SUM(Table_Query_from_MS_Access_Database8[[#All],[STP 50-200]])</f>
        <v>93000</v>
      </c>
      <c r="V28" s="70">
        <f>SUM(Table_Query_from_MS_Access_Database8[[#All],[CRP 50-200]])</f>
        <v>0</v>
      </c>
      <c r="W28" s="70">
        <f>SUM(Table_Query_from_MS_Access_Database8[[#All],[STP other]])</f>
        <v>0</v>
      </c>
      <c r="X28" s="70">
        <f>SUM(Table_Query_from_MS_Access_Database8[[#All],[TOTAL OF AMOUNT]])</f>
        <v>805838.85</v>
      </c>
      <c r="AB28" s="43"/>
    </row>
    <row r="29" spans="1:28" ht="27.75" customHeight="1">
      <c r="A29" s="64"/>
      <c r="B29" s="64"/>
      <c r="C29" s="64"/>
      <c r="D29" s="64"/>
      <c r="E29" s="36"/>
      <c r="F29" s="36"/>
      <c r="G29" s="36"/>
      <c r="H29" s="36"/>
      <c r="I29" s="36"/>
      <c r="J29" s="36"/>
      <c r="K29" s="36"/>
      <c r="L29" s="175" t="s">
        <v>70</v>
      </c>
      <c r="M29" s="70">
        <f t="shared" ref="M29:W29" si="3">+M12-M28</f>
        <v>0</v>
      </c>
      <c r="N29" s="70">
        <f t="shared" si="3"/>
        <v>0</v>
      </c>
      <c r="O29" s="70">
        <f t="shared" si="3"/>
        <v>43849.149999999994</v>
      </c>
      <c r="P29" s="70">
        <f t="shared" si="3"/>
        <v>4178</v>
      </c>
      <c r="Q29" s="70">
        <f>+Q12-Q28</f>
        <v>31250</v>
      </c>
      <c r="R29" s="70">
        <f>+R12-R28</f>
        <v>-168509.65000000002</v>
      </c>
      <c r="S29" s="70">
        <f t="shared" si="3"/>
        <v>0</v>
      </c>
      <c r="T29" s="70">
        <f t="shared" si="3"/>
        <v>0</v>
      </c>
      <c r="U29" s="70">
        <f t="shared" si="3"/>
        <v>187268</v>
      </c>
      <c r="V29" s="70">
        <f t="shared" si="3"/>
        <v>408377</v>
      </c>
      <c r="W29" s="70">
        <f t="shared" si="3"/>
        <v>0</v>
      </c>
      <c r="X29" s="70">
        <f>+X12-X28</f>
        <v>506412.50000000012</v>
      </c>
      <c r="AB29" s="187"/>
    </row>
    <row r="30" spans="1:28">
      <c r="A30" s="40"/>
      <c r="B30" s="40"/>
      <c r="C30" s="40"/>
      <c r="D30" s="40"/>
      <c r="E30" s="37"/>
      <c r="F30" s="37"/>
      <c r="G30" s="37"/>
      <c r="H30" s="37"/>
      <c r="I30" s="37"/>
      <c r="J30" s="37"/>
      <c r="K30" s="37"/>
      <c r="L30" s="37"/>
      <c r="M30" s="40"/>
      <c r="N30" s="40"/>
      <c r="O30" s="40"/>
      <c r="P30" s="40"/>
      <c r="Q30" s="40"/>
      <c r="R30" s="40"/>
      <c r="S30" s="30"/>
      <c r="T30" s="38"/>
      <c r="U30" s="38"/>
      <c r="V30" s="38"/>
      <c r="AB30" s="187"/>
    </row>
    <row r="31" spans="1:28" s="38" customFormat="1" ht="15.6">
      <c r="A31" s="212" t="s">
        <v>33</v>
      </c>
      <c r="B31" s="212"/>
      <c r="C31" s="212"/>
      <c r="D31" s="212"/>
      <c r="E31" s="39"/>
      <c r="F31" s="39"/>
      <c r="G31" s="40"/>
      <c r="H31" s="40"/>
      <c r="I31" s="40"/>
      <c r="J31" s="42"/>
      <c r="K31" s="41"/>
      <c r="L31" s="41"/>
      <c r="M31" s="41"/>
      <c r="N31" s="41"/>
      <c r="O31" s="30"/>
      <c r="P31" s="30"/>
      <c r="Q31" s="37"/>
      <c r="R31" s="37"/>
      <c r="S31" s="30"/>
      <c r="V31" s="43"/>
    </row>
    <row r="32" spans="1:28" s="38" customFormat="1" ht="22.8" customHeight="1">
      <c r="A32" s="155" t="s">
        <v>1</v>
      </c>
      <c r="B32" s="155" t="s">
        <v>0</v>
      </c>
      <c r="C32" s="155" t="s">
        <v>3</v>
      </c>
      <c r="D32" s="155" t="s">
        <v>77</v>
      </c>
      <c r="E32" s="155" t="s">
        <v>2</v>
      </c>
      <c r="F32" s="155" t="s">
        <v>44</v>
      </c>
      <c r="G32" s="155" t="s">
        <v>45</v>
      </c>
      <c r="H32" s="155" t="s">
        <v>46</v>
      </c>
      <c r="I32" s="59" t="s">
        <v>47</v>
      </c>
      <c r="J32" s="155" t="s">
        <v>48</v>
      </c>
      <c r="K32" s="155" t="s">
        <v>49</v>
      </c>
      <c r="L32" s="155" t="s">
        <v>50</v>
      </c>
      <c r="M32" s="155" t="s">
        <v>140</v>
      </c>
      <c r="N32" s="155" t="s">
        <v>4</v>
      </c>
      <c r="O32" s="155" t="s">
        <v>40</v>
      </c>
      <c r="P32" s="155" t="s">
        <v>200</v>
      </c>
      <c r="Q32" s="155" t="s">
        <v>5</v>
      </c>
      <c r="R32" s="155" t="s">
        <v>98</v>
      </c>
      <c r="S32" s="155" t="s">
        <v>139</v>
      </c>
      <c r="T32" s="155" t="s">
        <v>201</v>
      </c>
      <c r="U32" s="155" t="s">
        <v>202</v>
      </c>
      <c r="V32" s="155" t="s">
        <v>203</v>
      </c>
      <c r="W32" s="147" t="s">
        <v>51</v>
      </c>
      <c r="X32" s="155" t="s">
        <v>78</v>
      </c>
      <c r="Y32" s="155" t="s">
        <v>85</v>
      </c>
      <c r="AB32" s="186"/>
    </row>
    <row r="33" spans="1:27">
      <c r="A33" s="38" t="s">
        <v>260</v>
      </c>
      <c r="B33" s="38" t="s">
        <v>220</v>
      </c>
      <c r="C33" s="38" t="s">
        <v>104</v>
      </c>
      <c r="D33" s="38" t="s">
        <v>21</v>
      </c>
      <c r="E33" s="57" t="s">
        <v>261</v>
      </c>
      <c r="F33" s="87" t="s">
        <v>257</v>
      </c>
      <c r="G33" s="88" t="s">
        <v>258</v>
      </c>
      <c r="H33" s="88" t="s">
        <v>262</v>
      </c>
      <c r="I33" s="148">
        <v>46174</v>
      </c>
      <c r="J33" s="192"/>
      <c r="K33" s="193"/>
      <c r="L33" s="193"/>
      <c r="M33" s="194"/>
      <c r="N33" s="194"/>
      <c r="O33" s="194"/>
      <c r="P33" s="194"/>
      <c r="Q33" s="194">
        <v>31250</v>
      </c>
      <c r="R33" s="194"/>
      <c r="S33" s="195"/>
      <c r="T33" s="195"/>
      <c r="U33" s="195"/>
      <c r="V33" s="195"/>
      <c r="W33" s="196"/>
      <c r="X33" s="173">
        <f>SUM(Table_Query_from_MS_Access_Database_1[[#This Row],[HURF EX]:[CRP 50-200]])</f>
        <v>31250</v>
      </c>
      <c r="Y33" s="197">
        <f ca="1">IF(ISTEXT(INDIRECT(ADDRESS(ROW()-1,COLUMN()))),INDIRECT(ADDRESS(12,COLUMN()))-SUM(Table_Query_from_MS_Access_Database8[TOTAL OF AMOUNT]),INDIRECT(ADDRESS(ROW()-1,COLUMN())))-Table_Query_from_MS_Access_Database_1[[#This Row],[TOTAL OF AMOUNT]]</f>
        <v>362827.50000000012</v>
      </c>
      <c r="AA33" s="27"/>
    </row>
    <row r="34" spans="1:27">
      <c r="A34" s="38" t="s">
        <v>263</v>
      </c>
      <c r="B34" s="38" t="s">
        <v>220</v>
      </c>
      <c r="C34" s="38" t="s">
        <v>104</v>
      </c>
      <c r="D34" s="38" t="s">
        <v>21</v>
      </c>
      <c r="E34" s="57" t="s">
        <v>264</v>
      </c>
      <c r="F34" s="87" t="s">
        <v>257</v>
      </c>
      <c r="G34" s="88" t="s">
        <v>259</v>
      </c>
      <c r="H34" s="88" t="s">
        <v>262</v>
      </c>
      <c r="I34" s="148">
        <v>46174</v>
      </c>
      <c r="J34" s="192"/>
      <c r="K34" s="193"/>
      <c r="L34" s="193"/>
      <c r="M34" s="194"/>
      <c r="N34" s="194"/>
      <c r="O34" s="194">
        <v>39935.75</v>
      </c>
      <c r="P34" s="194"/>
      <c r="Q34" s="194"/>
      <c r="R34" s="194"/>
      <c r="S34" s="195"/>
      <c r="T34" s="195"/>
      <c r="U34" s="195"/>
      <c r="V34" s="195"/>
      <c r="W34" s="197"/>
      <c r="X34" s="173">
        <f>SUM(Table_Query_from_MS_Access_Database_1[[#This Row],[HURF EX]:[CRP 50-200]])</f>
        <v>39935.75</v>
      </c>
      <c r="Y34" s="197">
        <f ca="1">IF(ISTEXT(INDIRECT(ADDRESS(ROW()-1,COLUMN()))),INDIRECT(ADDRESS(12,COLUMN()))-SUM(Table_Query_from_MS_Access_Database8[TOTAL OF AMOUNT]),INDIRECT(ADDRESS(ROW()-1,COLUMN())))-Table_Query_from_MS_Access_Database_1[[#This Row],[TOTAL OF AMOUNT]]</f>
        <v>322891.75000000012</v>
      </c>
    </row>
    <row r="35" spans="1:27" ht="16.5" customHeight="1">
      <c r="A35" s="38" t="s">
        <v>283</v>
      </c>
      <c r="B35" s="38" t="s">
        <v>220</v>
      </c>
      <c r="C35" s="38" t="s">
        <v>104</v>
      </c>
      <c r="D35" s="38" t="s">
        <v>21</v>
      </c>
      <c r="E35" s="57" t="s">
        <v>265</v>
      </c>
      <c r="F35" s="87" t="s">
        <v>257</v>
      </c>
      <c r="G35" s="88" t="s">
        <v>259</v>
      </c>
      <c r="H35" s="88" t="s">
        <v>262</v>
      </c>
      <c r="I35" s="148">
        <v>46174</v>
      </c>
      <c r="J35" s="192"/>
      <c r="K35" s="193"/>
      <c r="L35" s="193"/>
      <c r="M35" s="194"/>
      <c r="N35" s="194"/>
      <c r="O35" s="194"/>
      <c r="P35" s="194">
        <v>4096</v>
      </c>
      <c r="Q35" s="194"/>
      <c r="R35" s="194"/>
      <c r="S35" s="195"/>
      <c r="T35" s="195"/>
      <c r="U35" s="195"/>
      <c r="V35" s="195"/>
      <c r="W35" s="197"/>
      <c r="X35" s="182">
        <f>SUM(Table_Query_from_MS_Access_Database_1[[#This Row],[HURF EX]:[CRP 50-200]])</f>
        <v>4096</v>
      </c>
      <c r="Y35" s="197">
        <f ca="1">IF(ISTEXT(INDIRECT(ADDRESS(ROW()-1,COLUMN()))),INDIRECT(ADDRESS(12,COLUMN()))-SUM(Table_Query_from_MS_Access_Database8[TOTAL OF AMOUNT]),INDIRECT(ADDRESS(ROW()-1,COLUMN())))-Table_Query_from_MS_Access_Database_1[[#This Row],[TOTAL OF AMOUNT]]</f>
        <v>318795.75000000012</v>
      </c>
    </row>
    <row r="36" spans="1:27" ht="16.5" hidden="1" customHeight="1">
      <c r="A36" s="38"/>
      <c r="B36" s="38"/>
      <c r="C36" s="38"/>
      <c r="D36" s="38"/>
      <c r="E36" s="57"/>
      <c r="F36" s="87"/>
      <c r="G36" s="88"/>
      <c r="H36" s="88"/>
      <c r="I36" s="148"/>
      <c r="J36" s="192"/>
      <c r="K36" s="193"/>
      <c r="L36" s="193"/>
      <c r="M36" s="194"/>
      <c r="N36" s="194"/>
      <c r="O36" s="194"/>
      <c r="P36" s="194"/>
      <c r="Q36" s="194"/>
      <c r="R36" s="194"/>
      <c r="S36" s="195"/>
      <c r="T36" s="195"/>
      <c r="U36" s="195"/>
      <c r="V36" s="195"/>
      <c r="W36" s="197"/>
      <c r="X36" s="182"/>
      <c r="Y36" s="197"/>
    </row>
    <row r="37" spans="1:27" ht="34.799999999999997" hidden="1" customHeight="1">
      <c r="A37" s="38"/>
      <c r="B37" s="38"/>
      <c r="C37" s="38"/>
      <c r="D37" s="38"/>
      <c r="E37" s="57"/>
      <c r="F37" s="87"/>
      <c r="G37" s="88"/>
      <c r="H37" s="88"/>
      <c r="I37" s="148"/>
      <c r="J37" s="93"/>
      <c r="K37" s="93"/>
      <c r="L37" s="93"/>
      <c r="M37" s="194"/>
      <c r="N37" s="194"/>
      <c r="O37" s="194"/>
      <c r="P37" s="194"/>
      <c r="Q37" s="194"/>
      <c r="R37" s="194"/>
      <c r="S37" s="195"/>
      <c r="T37" s="195"/>
      <c r="U37" s="195"/>
      <c r="V37" s="195"/>
      <c r="W37" s="197"/>
      <c r="X37" s="182"/>
      <c r="Y37" s="197"/>
    </row>
    <row r="38" spans="1:27" ht="16.5" hidden="1" customHeight="1">
      <c r="A38" s="38"/>
      <c r="B38" s="38"/>
      <c r="C38" s="38"/>
      <c r="D38" s="38"/>
      <c r="E38" s="57"/>
      <c r="F38" s="87"/>
      <c r="G38" s="88"/>
      <c r="H38" s="88"/>
      <c r="I38" s="148"/>
      <c r="J38" s="192"/>
      <c r="K38" s="193"/>
      <c r="L38" s="193"/>
      <c r="M38" s="194"/>
      <c r="N38" s="194"/>
      <c r="O38" s="194"/>
      <c r="P38" s="194"/>
      <c r="Q38" s="194"/>
      <c r="R38" s="194"/>
      <c r="S38" s="195"/>
      <c r="T38" s="195"/>
      <c r="U38" s="195"/>
      <c r="V38" s="195"/>
      <c r="W38" s="197"/>
      <c r="X38" s="203"/>
      <c r="Y38" s="197"/>
    </row>
    <row r="39" spans="1:27" ht="16.5" hidden="1" customHeight="1">
      <c r="A39" s="38"/>
      <c r="B39" s="38"/>
      <c r="C39" s="38"/>
      <c r="D39" s="38"/>
      <c r="E39" s="57"/>
      <c r="F39" s="87"/>
      <c r="G39" s="88"/>
      <c r="H39" s="88"/>
      <c r="I39" s="148"/>
      <c r="J39" s="192"/>
      <c r="K39" s="193"/>
      <c r="L39" s="193"/>
      <c r="M39" s="194"/>
      <c r="N39" s="194"/>
      <c r="O39" s="194"/>
      <c r="P39" s="194"/>
      <c r="Q39" s="194"/>
      <c r="R39" s="194"/>
      <c r="S39" s="195"/>
      <c r="T39" s="195"/>
      <c r="U39" s="195"/>
      <c r="V39" s="195"/>
      <c r="W39" s="197"/>
      <c r="X39" s="203"/>
      <c r="Y39" s="197"/>
    </row>
    <row r="40" spans="1:27" ht="16.5" hidden="1" customHeight="1">
      <c r="A40" s="38"/>
      <c r="B40" s="38"/>
      <c r="C40" s="38"/>
      <c r="D40" s="38"/>
      <c r="E40" s="57"/>
      <c r="F40" s="87"/>
      <c r="G40" s="88"/>
      <c r="H40" s="88"/>
      <c r="I40" s="148"/>
      <c r="J40" s="183"/>
      <c r="K40" s="93"/>
      <c r="L40" s="93"/>
      <c r="M40" s="94"/>
      <c r="N40" s="94"/>
      <c r="O40" s="94"/>
      <c r="P40" s="94"/>
      <c r="Q40" s="94"/>
      <c r="R40" s="94"/>
      <c r="S40" s="69"/>
      <c r="T40" s="69"/>
      <c r="U40" s="69"/>
      <c r="V40" s="69"/>
      <c r="W40" s="43"/>
      <c r="X40" s="173"/>
      <c r="Y40" s="43"/>
    </row>
    <row r="41" spans="1:27" ht="16.5" hidden="1" customHeight="1">
      <c r="A41" s="38"/>
      <c r="B41" s="38"/>
      <c r="C41" s="38"/>
      <c r="D41" s="38"/>
      <c r="E41" s="57"/>
      <c r="F41" s="87"/>
      <c r="G41" s="88"/>
      <c r="H41" s="88"/>
      <c r="I41" s="148"/>
      <c r="J41" s="183"/>
      <c r="K41" s="93"/>
      <c r="L41" s="93"/>
      <c r="M41" s="94"/>
      <c r="N41" s="94"/>
      <c r="O41" s="94"/>
      <c r="P41" s="94"/>
      <c r="Q41" s="94"/>
      <c r="R41" s="94"/>
      <c r="S41" s="69"/>
      <c r="T41" s="69"/>
      <c r="U41" s="69"/>
      <c r="V41" s="69"/>
      <c r="W41" s="43"/>
      <c r="X41" s="173"/>
      <c r="Y41" s="43"/>
    </row>
    <row r="42" spans="1:27" ht="16.5" hidden="1" customHeight="1">
      <c r="A42" s="38"/>
      <c r="B42" s="38"/>
      <c r="C42" s="38"/>
      <c r="D42" s="38"/>
      <c r="E42" s="57"/>
      <c r="F42" s="87"/>
      <c r="G42" s="88"/>
      <c r="H42" s="88"/>
      <c r="I42" s="148"/>
      <c r="J42" s="183"/>
      <c r="K42" s="93"/>
      <c r="L42" s="93"/>
      <c r="M42" s="94"/>
      <c r="N42" s="94"/>
      <c r="O42" s="94"/>
      <c r="P42" s="94"/>
      <c r="Q42" s="94"/>
      <c r="R42" s="94"/>
      <c r="S42" s="69"/>
      <c r="T42" s="69"/>
      <c r="U42" s="69"/>
      <c r="V42" s="69"/>
      <c r="W42" s="43"/>
      <c r="X42" s="182"/>
      <c r="Y42" s="43"/>
    </row>
    <row r="43" spans="1:27">
      <c r="A43" s="38"/>
      <c r="B43" s="38"/>
      <c r="C43" s="38"/>
      <c r="D43" s="38"/>
      <c r="E43" s="38"/>
      <c r="F43" s="38"/>
      <c r="G43" s="38"/>
      <c r="H43" s="38"/>
      <c r="I43" s="38"/>
      <c r="J43" s="43"/>
      <c r="K43" s="43"/>
      <c r="L43" s="152" t="s">
        <v>79</v>
      </c>
      <c r="M43" s="161">
        <f>SUBTOTAL(109,Table_Query_from_MS_Access_Database_1[HURF EX])</f>
        <v>0</v>
      </c>
      <c r="N43" s="161">
        <f>SUBTOTAL(109,Table_Query_from_MS_Access_Database_1[HSIP])</f>
        <v>0</v>
      </c>
      <c r="O43" s="161">
        <f>SUBTOTAL(109,Table_Query_from_MS_Access_Database_1[PL])</f>
        <v>39935.75</v>
      </c>
      <c r="P43" s="161">
        <f>SUBTOTAL(109,Table_Query_from_MS_Access_Database_1[PL-SATO])</f>
        <v>4096</v>
      </c>
      <c r="Q43" s="161">
        <f>SUBTOTAL(109,Table_Query_from_MS_Access_Database_1[SPR])</f>
        <v>31250</v>
      </c>
      <c r="R43" s="161">
        <f>SUBTOTAL(109,Table_Query_from_MS_Access_Database_1[STP &lt;5])</f>
        <v>0</v>
      </c>
      <c r="S43" s="161">
        <f>SUBTOTAL(109,Table_Query_from_MS_Access_Database_1[STP 5-200])</f>
        <v>0</v>
      </c>
      <c r="T43" s="161">
        <f>SUBTOTAL(109,Table_Query_from_MS_Access_Database_1[STP 5-50])</f>
        <v>0</v>
      </c>
      <c r="U43" s="161">
        <f>SUBTOTAL(109,Table_Query_from_MS_Access_Database_1[STP 50-200])</f>
        <v>0</v>
      </c>
      <c r="V43" s="161">
        <f>SUBTOTAL(109,Table_Query_from_MS_Access_Database_1[CRP 50-200])</f>
        <v>0</v>
      </c>
      <c r="W43" s="181">
        <f>SUBTOTAL(109,Table_Query_from_MS_Access_Database_1[STP OTHER])</f>
        <v>0</v>
      </c>
      <c r="X43" s="173">
        <f>SUBTOTAL(109,Table_Query_from_MS_Access_Database_1[TOTAL OF AMOUNT])</f>
        <v>75281.75</v>
      </c>
    </row>
    <row r="44" spans="1:27" ht="30" customHeight="1">
      <c r="J44" s="27"/>
      <c r="K44" s="27"/>
      <c r="L44" s="58" t="s">
        <v>70</v>
      </c>
      <c r="M44" s="161">
        <f t="shared" ref="M44:W44" si="4">+M29-M43</f>
        <v>0</v>
      </c>
      <c r="N44" s="174">
        <f t="shared" si="4"/>
        <v>0</v>
      </c>
      <c r="O44" s="174">
        <f t="shared" si="4"/>
        <v>3913.3999999999942</v>
      </c>
      <c r="P44" s="174">
        <f t="shared" si="4"/>
        <v>82</v>
      </c>
      <c r="Q44" s="174">
        <f t="shared" si="4"/>
        <v>0</v>
      </c>
      <c r="R44" s="174">
        <f t="shared" si="4"/>
        <v>-168509.65000000002</v>
      </c>
      <c r="S44" s="174">
        <f t="shared" si="4"/>
        <v>0</v>
      </c>
      <c r="T44" s="174">
        <f t="shared" si="4"/>
        <v>0</v>
      </c>
      <c r="U44" s="174">
        <f t="shared" si="4"/>
        <v>187268</v>
      </c>
      <c r="V44" s="174">
        <f t="shared" si="4"/>
        <v>408377</v>
      </c>
      <c r="W44" s="174">
        <f t="shared" si="4"/>
        <v>0</v>
      </c>
      <c r="X44" s="174">
        <f>+X29-X43</f>
        <v>431130.75000000012</v>
      </c>
      <c r="AA44" s="168"/>
    </row>
    <row r="45" spans="1:27" ht="16.5" customHeight="1">
      <c r="J45" s="27"/>
      <c r="K45" s="27"/>
      <c r="L45" s="27"/>
      <c r="M45" s="94">
        <f t="shared" ref="M45:X45" si="5">+M28+M43</f>
        <v>0</v>
      </c>
      <c r="N45" s="43">
        <f t="shared" si="5"/>
        <v>0</v>
      </c>
      <c r="O45" s="43">
        <f t="shared" si="5"/>
        <v>159024.6</v>
      </c>
      <c r="P45" s="43">
        <f t="shared" si="5"/>
        <v>4096</v>
      </c>
      <c r="Q45" s="43">
        <f t="shared" si="5"/>
        <v>125000</v>
      </c>
      <c r="R45" s="43">
        <f t="shared" si="5"/>
        <v>500000</v>
      </c>
      <c r="S45" s="43">
        <f t="shared" si="5"/>
        <v>0</v>
      </c>
      <c r="T45" s="43">
        <f t="shared" si="5"/>
        <v>0</v>
      </c>
      <c r="U45" s="43">
        <f t="shared" si="5"/>
        <v>93000</v>
      </c>
      <c r="V45" s="43">
        <f t="shared" si="5"/>
        <v>0</v>
      </c>
      <c r="W45" s="43">
        <f t="shared" si="5"/>
        <v>0</v>
      </c>
      <c r="X45" s="43">
        <f t="shared" si="5"/>
        <v>881120.6</v>
      </c>
      <c r="AA45" s="168"/>
    </row>
    <row r="46" spans="1:27" ht="30" customHeight="1">
      <c r="A46" s="44" t="s">
        <v>72</v>
      </c>
      <c r="J46" s="27"/>
      <c r="K46" s="27"/>
      <c r="L46" s="27"/>
      <c r="M46" s="27"/>
      <c r="U46" s="27"/>
      <c r="V46" s="43"/>
    </row>
    <row r="47" spans="1:27" ht="16.5" customHeight="1">
      <c r="A47" s="38"/>
      <c r="B47" s="38"/>
      <c r="C47" s="38"/>
      <c r="D47" s="38"/>
      <c r="E47" s="38"/>
      <c r="F47" s="177"/>
      <c r="G47" s="177"/>
      <c r="H47" s="177"/>
      <c r="J47" s="27"/>
      <c r="K47" s="27"/>
      <c r="L47" s="27"/>
      <c r="M47" s="211" t="s">
        <v>54</v>
      </c>
      <c r="N47" s="211"/>
      <c r="O47" s="211"/>
      <c r="P47" s="211"/>
      <c r="Q47" s="169"/>
      <c r="R47" s="39"/>
      <c r="S47" s="24"/>
      <c r="T47" s="43"/>
      <c r="U47" s="38"/>
      <c r="V47" s="64"/>
    </row>
    <row r="48" spans="1:27">
      <c r="A48" s="38"/>
      <c r="B48" s="38"/>
      <c r="C48" s="38"/>
      <c r="D48" s="38"/>
      <c r="E48" s="38"/>
      <c r="F48" s="38"/>
      <c r="G48" s="38"/>
      <c r="H48" s="38"/>
      <c r="J48" s="43"/>
      <c r="K48" s="43"/>
      <c r="L48" s="43"/>
      <c r="M48" s="90" t="s">
        <v>141</v>
      </c>
      <c r="N48" s="90" t="s">
        <v>4</v>
      </c>
      <c r="O48" s="90" t="s">
        <v>40</v>
      </c>
      <c r="P48" s="159" t="s">
        <v>200</v>
      </c>
      <c r="Q48" s="165" t="s">
        <v>5</v>
      </c>
      <c r="R48" s="165" t="s">
        <v>98</v>
      </c>
      <c r="S48" s="165" t="s">
        <v>100</v>
      </c>
      <c r="T48" s="159" t="s">
        <v>201</v>
      </c>
      <c r="U48" s="159" t="s">
        <v>202</v>
      </c>
      <c r="V48" s="159" t="s">
        <v>203</v>
      </c>
      <c r="W48" s="90" t="s">
        <v>51</v>
      </c>
      <c r="X48" s="90" t="s">
        <v>52</v>
      </c>
      <c r="Y48" s="71" t="s">
        <v>55</v>
      </c>
    </row>
    <row r="49" spans="1:25">
      <c r="B49" s="38"/>
      <c r="C49" s="38"/>
      <c r="D49" s="38"/>
      <c r="E49" s="43"/>
      <c r="F49" s="38"/>
      <c r="G49" s="38"/>
      <c r="H49" s="38"/>
      <c r="J49" s="43"/>
      <c r="K49" s="43"/>
      <c r="L49" s="66" t="s">
        <v>286</v>
      </c>
      <c r="M49" s="68">
        <f>+M44</f>
        <v>0</v>
      </c>
      <c r="N49" s="68">
        <f t="shared" ref="N49:W49" si="6">+N44</f>
        <v>0</v>
      </c>
      <c r="O49" s="68">
        <f t="shared" si="6"/>
        <v>3913.3999999999942</v>
      </c>
      <c r="P49" s="68">
        <f t="shared" si="6"/>
        <v>82</v>
      </c>
      <c r="Q49" s="68">
        <f t="shared" si="6"/>
        <v>0</v>
      </c>
      <c r="R49" s="68">
        <f t="shared" si="6"/>
        <v>-168509.65000000002</v>
      </c>
      <c r="S49" s="68">
        <f t="shared" si="6"/>
        <v>0</v>
      </c>
      <c r="T49" s="68">
        <f t="shared" si="6"/>
        <v>0</v>
      </c>
      <c r="U49" s="68">
        <f t="shared" si="6"/>
        <v>187268</v>
      </c>
      <c r="V49" s="68">
        <f t="shared" si="6"/>
        <v>408377</v>
      </c>
      <c r="W49" s="68">
        <f t="shared" si="6"/>
        <v>0</v>
      </c>
      <c r="X49" s="68">
        <f>SUM(M49:W49)</f>
        <v>431130.75</v>
      </c>
      <c r="Y49" s="161">
        <f ca="1">Y35</f>
        <v>318795.75000000012</v>
      </c>
    </row>
    <row r="50" spans="1:25">
      <c r="A50" s="38"/>
      <c r="B50" s="38"/>
      <c r="C50" s="38"/>
      <c r="D50" s="38"/>
      <c r="E50" s="38"/>
      <c r="F50" s="38"/>
      <c r="G50" s="38"/>
      <c r="H50" s="38"/>
      <c r="I50" s="38"/>
      <c r="J50" s="43"/>
      <c r="K50" s="43"/>
      <c r="L50" s="66" t="s">
        <v>287</v>
      </c>
      <c r="M50" s="89">
        <f>SUMIFS(Table_Query_from_MS_Access_Database[[#All],[HURF Exchange]],Table_Query_from_MS_Access_Database[[#All],[TAP 5-2]],"2022",Table_Query_from_MS_Access_Database[[#All],[Transaction Year]],"Lapsing")</f>
        <v>0</v>
      </c>
      <c r="N50" s="89">
        <f>SUMIFS(Table_Query_from_MS_Access_Database[[#All],[HSIP]],Table_Query_from_MS_Access_Database[[#All],[Transaction Year]],"2022",Table_Query_from_MS_Access_Database[[#All],[Transaction Type]],"Lapsing")</f>
        <v>0</v>
      </c>
      <c r="O50" s="89">
        <f>SUMIFS(Table_Query_from_MS_Access_Database[[#All],[PLAN]],Table_Query_from_MS_Access_Database[[#All],[Transaction Type]],"2022",Table_Query_from_MS_Access_Database[[#All],[Number]],"Lapsing")</f>
        <v>0</v>
      </c>
      <c r="P50" s="89">
        <f>SUMIFS(Table_Query_from_MS_Access_Database[[#All],[PLAN SATO]],Table_Query_from_MS_Access_Database[[#All],[Number]],"2022",Table_Query_from_MS_Access_Database[[#All],[From]],"Lapsing")</f>
        <v>0</v>
      </c>
      <c r="Q50" s="89">
        <f>SUMIFS(Table_Query_from_MS_Access_Database[[#All],[SPR]],Table_Query_from_MS_Access_Database[[#All],[From]],"2022",Table_Query_from_MS_Access_Database[[#All],[To]],"Lapsing")</f>
        <v>0</v>
      </c>
      <c r="R50" s="89">
        <f>SUMIFS(Table_Query_from_MS_Access_Database[[#All],[STP &lt;5]],Table_Query_from_MS_Access_Database[[#All],[To]],"2022",Table_Query_from_MS_Access_Database[[#All],[Repayment Year]],"Lapsing")</f>
        <v>0</v>
      </c>
      <c r="S50" s="89">
        <f>SUMIFS(Table_Query_from_MS_Access_Database[[#All],[STP 5-2]],Table_Query_from_MS_Access_Database[[#All],[Repayment Year]],"2022",Table_Query_from_MS_Access_Database[[#All],[Project8]],"Lapsing")</f>
        <v>0</v>
      </c>
      <c r="T50" s="89">
        <f>SUMIFS(Table_Query_from_MS_Access_Database[[#All],[STP 5-50]],Table_Query_from_MS_Access_Database[[#All],[Project8]],"2022",Table_Query_from_MS_Access_Database[[#All],[Notes]],"Lapsing")</f>
        <v>0</v>
      </c>
      <c r="U50" s="89">
        <f>SUMIFS(Table_Query_from_MS_Access_Database[[#All],[STP 50-200]],Table_Query_from_MS_Access_Database[[#All],[Notes]],"2022",Table_Query_from_MS_Access_Database[[#All],[Total]],"Lapsing")</f>
        <v>0</v>
      </c>
      <c r="V50" s="89">
        <f>SUMIFS(Table_Query_from_MS_Access_Database[[#All],[CRP 50-200]],Table_Query_from_MS_Access_Database[[#All],[Total]],"2022",Table_Query_from_MS_Access_Database[[#All],[CMAQ]],"Lapsing")</f>
        <v>0</v>
      </c>
      <c r="W50" s="89">
        <f>SUMIFS(Table_Query_from_MS_Access_Database[[#All],[STP FLEX]],Table_Query_from_MS_Access_Database[[#All],[CMAQ]],"2022",Table_Query_from_MS_Access_Database[[#All],[CMAQ 25]],"Lapsing")</f>
        <v>0</v>
      </c>
      <c r="X50" s="89">
        <f>SUM(M50:W50)</f>
        <v>0</v>
      </c>
      <c r="Y50" s="89">
        <f>SUMIFS(Table_Query_from_MS_Access_Database_16[[#All],[To]],Table_Query_from_MS_Access_Database_16[[#All],[Transaction Year]],"2018",Table_Query_from_MS_Access_Database_16[[#All],[Transaction Type]],"Lapsing")</f>
        <v>0</v>
      </c>
    </row>
    <row r="51" spans="1:25">
      <c r="A51" s="163"/>
      <c r="B51" s="164"/>
      <c r="C51" s="164"/>
      <c r="D51" s="164"/>
      <c r="E51" s="164"/>
      <c r="F51" s="164"/>
      <c r="G51" s="164"/>
      <c r="H51" s="164"/>
      <c r="I51" s="164"/>
      <c r="J51" s="164"/>
      <c r="K51" s="164"/>
      <c r="L51" s="66" t="s">
        <v>288</v>
      </c>
      <c r="M51" s="68">
        <f>SUM(M49:M50)</f>
        <v>0</v>
      </c>
      <c r="N51" s="68">
        <f t="shared" ref="N51:V51" si="7">SUM(N49:N50)</f>
        <v>0</v>
      </c>
      <c r="O51" s="68">
        <f t="shared" si="7"/>
        <v>3913.3999999999942</v>
      </c>
      <c r="P51" s="68">
        <f t="shared" si="7"/>
        <v>82</v>
      </c>
      <c r="Q51" s="68">
        <f t="shared" si="7"/>
        <v>0</v>
      </c>
      <c r="R51" s="68">
        <f t="shared" si="7"/>
        <v>-168509.65000000002</v>
      </c>
      <c r="S51" s="68">
        <f t="shared" si="7"/>
        <v>0</v>
      </c>
      <c r="T51" s="68">
        <f t="shared" si="7"/>
        <v>0</v>
      </c>
      <c r="U51" s="68">
        <f t="shared" si="7"/>
        <v>187268</v>
      </c>
      <c r="V51" s="68">
        <f t="shared" si="7"/>
        <v>408377</v>
      </c>
      <c r="W51" s="68">
        <f>SUM(W49:W50)</f>
        <v>0</v>
      </c>
      <c r="X51" s="68">
        <f>SUM(M51:W51)</f>
        <v>431130.75</v>
      </c>
      <c r="Y51" s="68">
        <f ca="1">SUM(Y49:Y50)</f>
        <v>318795.75000000012</v>
      </c>
    </row>
    <row r="52" spans="1:25">
      <c r="A52" s="38"/>
      <c r="B52" s="38"/>
      <c r="C52" s="38"/>
      <c r="D52" s="38"/>
      <c r="E52" s="38"/>
      <c r="F52" s="38"/>
      <c r="G52" s="38"/>
      <c r="H52" s="38"/>
      <c r="I52" s="38"/>
      <c r="J52" s="43"/>
      <c r="K52" s="43"/>
      <c r="L52" s="67" t="s">
        <v>289</v>
      </c>
      <c r="M52" s="89">
        <f>+M49-M44</f>
        <v>0</v>
      </c>
      <c r="N52" s="89">
        <f t="shared" ref="N52:W52" si="8">+N49-N44</f>
        <v>0</v>
      </c>
      <c r="O52" s="89">
        <f t="shared" si="8"/>
        <v>0</v>
      </c>
      <c r="P52" s="89">
        <f t="shared" si="8"/>
        <v>0</v>
      </c>
      <c r="Q52" s="89">
        <f t="shared" si="8"/>
        <v>0</v>
      </c>
      <c r="R52" s="89">
        <f t="shared" si="8"/>
        <v>0</v>
      </c>
      <c r="S52" s="89">
        <f t="shared" si="8"/>
        <v>0</v>
      </c>
      <c r="T52" s="89">
        <f t="shared" si="8"/>
        <v>0</v>
      </c>
      <c r="U52" s="89">
        <f t="shared" si="8"/>
        <v>0</v>
      </c>
      <c r="V52" s="89">
        <f t="shared" si="8"/>
        <v>0</v>
      </c>
      <c r="W52" s="89">
        <f t="shared" si="8"/>
        <v>0</v>
      </c>
      <c r="X52" s="166">
        <f>SUM(M52:W52)</f>
        <v>0</v>
      </c>
      <c r="Y52" s="89">
        <v>0</v>
      </c>
    </row>
    <row r="54" spans="1:25">
      <c r="U54" s="27"/>
      <c r="V54" s="168"/>
    </row>
    <row r="56" spans="1:25">
      <c r="A56" s="199" t="s">
        <v>269</v>
      </c>
      <c r="B56" s="199"/>
    </row>
    <row r="57" spans="1:25">
      <c r="A57" s="200"/>
      <c r="B57" s="200" t="s">
        <v>266</v>
      </c>
      <c r="Y57" s="27"/>
    </row>
    <row r="58" spans="1:25">
      <c r="A58" s="199"/>
      <c r="B58" s="199" t="s">
        <v>267</v>
      </c>
    </row>
    <row r="60" spans="1:25">
      <c r="A60" s="199" t="s">
        <v>308</v>
      </c>
    </row>
    <row r="62" spans="1:25">
      <c r="A62" s="199" t="s">
        <v>309</v>
      </c>
    </row>
  </sheetData>
  <sheetProtection autoFilter="0"/>
  <mergeCells count="10">
    <mergeCell ref="I14:L14"/>
    <mergeCell ref="A9:J9"/>
    <mergeCell ref="M2:X2"/>
    <mergeCell ref="M1:X1"/>
    <mergeCell ref="M47:P47"/>
    <mergeCell ref="A31:D31"/>
    <mergeCell ref="A1:F1"/>
    <mergeCell ref="A14:D14"/>
    <mergeCell ref="A3:D3"/>
    <mergeCell ref="A5:D5"/>
  </mergeCells>
  <pageMargins left="0.5" right="0.25" top="0.75" bottom="0.5" header="0.3" footer="0.3"/>
  <pageSetup paperSize="17" scale="79" fitToHeight="0" orientation="landscape" horizontalDpi="1200" verticalDpi="1200" r:id="rId1"/>
  <headerFooter>
    <oddFooter>&amp;L&amp;8&amp;Z&amp;F&amp;R&amp;P of &amp;N</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198"/>
  <sheetViews>
    <sheetView topLeftCell="A176" zoomScaleNormal="100" workbookViewId="0">
      <selection activeCell="D194" sqref="D194"/>
    </sheetView>
  </sheetViews>
  <sheetFormatPr defaultColWidth="19.6640625" defaultRowHeight="14.4"/>
  <cols>
    <col min="1" max="1" width="19.5546875" style="16" bestFit="1" customWidth="1"/>
    <col min="2" max="2" width="19.88671875" style="16" bestFit="1" customWidth="1"/>
    <col min="3" max="3" width="20.33203125" style="16" customWidth="1"/>
    <col min="4" max="4" width="9.33203125" style="16" bestFit="1" customWidth="1"/>
    <col min="5" max="5" width="9" style="16" customWidth="1"/>
    <col min="6" max="6" width="19.5546875" style="16" bestFit="1" customWidth="1"/>
    <col min="7" max="7" width="23.5546875" style="16" customWidth="1"/>
    <col min="8" max="8" width="32.88671875" style="17" customWidth="1"/>
    <col min="9" max="9" width="14" style="16" customWidth="1"/>
    <col min="10" max="10" width="10.44140625" style="16" bestFit="1" customWidth="1"/>
    <col min="11" max="11" width="12.88671875" style="16" bestFit="1" customWidth="1"/>
    <col min="12" max="12" width="18.44140625" style="16" bestFit="1" customWidth="1"/>
    <col min="13" max="13" width="12.33203125" style="16" bestFit="1" customWidth="1"/>
    <col min="14" max="14" width="9.44140625" style="16" bestFit="1" customWidth="1"/>
    <col min="15" max="15" width="14.5546875" style="16" bestFit="1" customWidth="1"/>
    <col min="16" max="16" width="11.33203125" style="16" bestFit="1" customWidth="1"/>
    <col min="17" max="17" width="11.5546875" style="16" bestFit="1" customWidth="1"/>
    <col min="18" max="18" width="14" style="16" bestFit="1" customWidth="1"/>
    <col min="19" max="19" width="12" style="16" bestFit="1" customWidth="1"/>
    <col min="20" max="20" width="14" style="16" bestFit="1" customWidth="1"/>
    <col min="21" max="21" width="14.33203125" style="16" bestFit="1" customWidth="1"/>
    <col min="22" max="22" width="14" style="16" bestFit="1" customWidth="1"/>
    <col min="23" max="23" width="12.33203125" style="16" bestFit="1" customWidth="1"/>
    <col min="24" max="25" width="12.5546875" style="16" bestFit="1" customWidth="1"/>
    <col min="26" max="26" width="10.5546875" style="16" bestFit="1" customWidth="1"/>
    <col min="27" max="27" width="11.33203125" style="16" bestFit="1" customWidth="1"/>
    <col min="28" max="28" width="12.6640625" style="16" customWidth="1"/>
    <col min="29" max="29" width="13.33203125" style="16" customWidth="1"/>
    <col min="30" max="30" width="16.5546875" style="16" customWidth="1"/>
    <col min="31" max="31" width="11.6640625" style="16" customWidth="1"/>
    <col min="32" max="32" width="15.6640625" style="16" customWidth="1"/>
    <col min="33" max="33" width="13.44140625" style="16" customWidth="1"/>
    <col min="34" max="34" width="15.6640625" style="16" customWidth="1"/>
    <col min="35" max="36" width="9.5546875" style="16" customWidth="1"/>
    <col min="37" max="37" width="11.88671875" style="16" customWidth="1"/>
    <col min="38" max="38" width="64.33203125" style="16" customWidth="1"/>
    <col min="39" max="39" width="14" style="16" customWidth="1"/>
    <col min="40" max="40" width="16.88671875" style="16" customWidth="1"/>
    <col min="41" max="41" width="12.109375" style="16" customWidth="1"/>
    <col min="42" max="42" width="16" style="16" customWidth="1"/>
  </cols>
  <sheetData>
    <row r="1" spans="1:42" ht="18">
      <c r="A1" s="215" t="str">
        <f>+'Federal Funds Transactions'!A1:F1</f>
        <v>Sierra Vista Metropolitan Planning Organization</v>
      </c>
      <c r="B1" s="215"/>
      <c r="C1" s="215"/>
      <c r="D1" s="215"/>
      <c r="E1" s="215"/>
      <c r="F1" s="215"/>
    </row>
    <row r="2" spans="1:42">
      <c r="A2" s="18"/>
      <c r="B2" s="18"/>
      <c r="C2" s="18"/>
      <c r="D2" s="18"/>
      <c r="E2" s="18"/>
      <c r="F2" s="18"/>
    </row>
    <row r="3" spans="1:42">
      <c r="A3" s="216" t="s">
        <v>76</v>
      </c>
      <c r="B3" s="216"/>
      <c r="C3" s="216"/>
      <c r="D3" s="216"/>
      <c r="E3" s="216"/>
      <c r="F3" s="216"/>
    </row>
    <row r="4" spans="1:42">
      <c r="A4" s="19"/>
      <c r="B4" s="19"/>
      <c r="C4" s="19"/>
      <c r="D4" s="19"/>
      <c r="E4" s="19"/>
      <c r="F4" s="19"/>
    </row>
    <row r="5" spans="1:42">
      <c r="A5" s="16" t="s">
        <v>75</v>
      </c>
      <c r="B5" s="51">
        <f>+'Federal Funds Transactions'!C6</f>
        <v>46024</v>
      </c>
      <c r="C5" s="18"/>
      <c r="D5" s="18"/>
      <c r="E5" s="18"/>
      <c r="F5" s="18"/>
    </row>
    <row r="6" spans="1:42">
      <c r="A6" s="18"/>
      <c r="B6" s="18"/>
      <c r="C6" s="18"/>
      <c r="D6" s="18"/>
      <c r="E6" s="18"/>
      <c r="F6" s="18"/>
    </row>
    <row r="7" spans="1:42" ht="15" customHeight="1">
      <c r="A7" s="218" t="str">
        <f>+'Federal Funds Transactions'!A9:L9</f>
        <v>IMPORTANT! Please review the information in the Notes tab for further explanation of the data in this document.</v>
      </c>
      <c r="B7" s="218"/>
      <c r="C7" s="218"/>
      <c r="D7" s="218"/>
      <c r="E7" s="218"/>
      <c r="F7" s="218"/>
      <c r="G7" s="218"/>
      <c r="H7" s="218"/>
    </row>
    <row r="9" spans="1:42" ht="15.75" customHeight="1">
      <c r="A9" s="217" t="s">
        <v>74</v>
      </c>
      <c r="B9" s="217"/>
      <c r="C9" s="217"/>
      <c r="D9" s="217"/>
      <c r="E9" s="217"/>
      <c r="F9" s="217"/>
      <c r="G9" s="217"/>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2" ht="15.6">
      <c r="A10" s="21"/>
      <c r="B10" s="21"/>
      <c r="C10" s="21"/>
      <c r="D10" s="21"/>
      <c r="E10" s="22"/>
      <c r="F10" s="22"/>
      <c r="G10" s="22"/>
      <c r="H10" s="23"/>
      <c r="I10" s="22"/>
      <c r="J10" s="22"/>
      <c r="K10" s="22"/>
      <c r="L10" s="22"/>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2"/>
      <c r="AP10" s="22"/>
    </row>
    <row r="11" spans="1:42">
      <c r="A11" s="55" t="s">
        <v>41</v>
      </c>
      <c r="B11" s="56" t="s">
        <v>42</v>
      </c>
      <c r="C11" s="56" t="s">
        <v>13</v>
      </c>
      <c r="D11" s="56" t="s">
        <v>81</v>
      </c>
      <c r="E11" s="56" t="s">
        <v>82</v>
      </c>
      <c r="F11" s="56" t="s">
        <v>43</v>
      </c>
      <c r="G11" s="56" t="s">
        <v>83</v>
      </c>
      <c r="H11" s="56" t="s">
        <v>84</v>
      </c>
      <c r="I11" s="56" t="s">
        <v>10</v>
      </c>
      <c r="J11" s="56" t="s">
        <v>204</v>
      </c>
      <c r="K11" s="56" t="s">
        <v>205</v>
      </c>
      <c r="L11" s="56" t="s">
        <v>142</v>
      </c>
      <c r="M11" s="56" t="s">
        <v>4</v>
      </c>
      <c r="N11" s="56" t="s">
        <v>136</v>
      </c>
      <c r="O11" s="56" t="s">
        <v>206</v>
      </c>
      <c r="P11" s="56" t="s">
        <v>5</v>
      </c>
      <c r="Q11" s="56" t="s">
        <v>98</v>
      </c>
      <c r="R11" s="56" t="s">
        <v>100</v>
      </c>
      <c r="S11" s="56" t="s">
        <v>201</v>
      </c>
      <c r="T11" s="56" t="s">
        <v>202</v>
      </c>
      <c r="U11" s="56" t="s">
        <v>203</v>
      </c>
      <c r="V11" s="56" t="s">
        <v>207</v>
      </c>
      <c r="W11" s="56" t="s">
        <v>208</v>
      </c>
      <c r="X11" s="56" t="s">
        <v>209</v>
      </c>
      <c r="Y11" s="56" t="s">
        <v>210</v>
      </c>
      <c r="Z11" s="56" t="s">
        <v>137</v>
      </c>
      <c r="AA11" s="56" t="s">
        <v>138</v>
      </c>
      <c r="AB11" s="22"/>
      <c r="AC11" s="22"/>
      <c r="AD11"/>
      <c r="AE11"/>
      <c r="AF11"/>
      <c r="AG11"/>
      <c r="AH11"/>
      <c r="AI11"/>
      <c r="AJ11"/>
      <c r="AK11"/>
      <c r="AL11"/>
      <c r="AM11"/>
      <c r="AN11"/>
      <c r="AO11"/>
      <c r="AP11"/>
    </row>
    <row r="12" spans="1:42">
      <c r="A12" s="47" t="s">
        <v>89</v>
      </c>
      <c r="B12" s="45" t="s">
        <v>95</v>
      </c>
      <c r="C12" s="45" t="s">
        <v>103</v>
      </c>
      <c r="D12" s="45" t="s">
        <v>104</v>
      </c>
      <c r="E12" s="45" t="s">
        <v>88</v>
      </c>
      <c r="F12" s="45" t="s">
        <v>89</v>
      </c>
      <c r="G12" s="45"/>
      <c r="H12" s="45" t="s">
        <v>105</v>
      </c>
      <c r="I12" s="45">
        <v>-354399</v>
      </c>
      <c r="J12" s="45"/>
      <c r="K12" s="45"/>
      <c r="L12" s="46"/>
      <c r="M12" s="46">
        <v>-315000</v>
      </c>
      <c r="N12" s="91"/>
      <c r="O12" s="91"/>
      <c r="P12" s="91">
        <v>-39399</v>
      </c>
      <c r="Q12" s="91"/>
      <c r="R12" s="91"/>
      <c r="S12" s="91"/>
      <c r="T12" s="22"/>
      <c r="U12" s="145"/>
      <c r="V12" s="145"/>
      <c r="W12" s="145"/>
      <c r="X12" s="145"/>
      <c r="Y12" s="145"/>
      <c r="Z12" s="145"/>
      <c r="AA12" s="145"/>
      <c r="AB12" s="53"/>
      <c r="AC12" s="53"/>
      <c r="AD12"/>
      <c r="AE12"/>
      <c r="AF12"/>
      <c r="AG12"/>
      <c r="AH12"/>
      <c r="AI12"/>
      <c r="AJ12"/>
      <c r="AK12"/>
      <c r="AL12"/>
      <c r="AM12"/>
      <c r="AN12"/>
      <c r="AO12"/>
      <c r="AP12"/>
    </row>
    <row r="13" spans="1:42">
      <c r="A13" s="48" t="s">
        <v>89</v>
      </c>
      <c r="B13" s="46" t="s">
        <v>86</v>
      </c>
      <c r="C13" s="46" t="s">
        <v>106</v>
      </c>
      <c r="D13" s="46" t="s">
        <v>104</v>
      </c>
      <c r="E13" s="46" t="s">
        <v>91</v>
      </c>
      <c r="F13" s="46" t="s">
        <v>92</v>
      </c>
      <c r="G13" s="46" t="s">
        <v>107</v>
      </c>
      <c r="H13" s="46" t="s">
        <v>108</v>
      </c>
      <c r="I13" s="46">
        <v>-307204</v>
      </c>
      <c r="J13" s="46"/>
      <c r="K13" s="46"/>
      <c r="L13" s="46"/>
      <c r="M13" s="46"/>
      <c r="N13" s="91"/>
      <c r="O13" s="91"/>
      <c r="P13" s="91"/>
      <c r="Q13" s="91"/>
      <c r="R13" s="91"/>
      <c r="S13" s="91"/>
      <c r="T13" s="22"/>
      <c r="U13" s="145"/>
      <c r="V13" s="145">
        <v>-307204</v>
      </c>
      <c r="W13" s="145"/>
      <c r="X13" s="145"/>
      <c r="Y13" s="145"/>
      <c r="Z13" s="145"/>
      <c r="AA13" s="145"/>
      <c r="AB13" s="53"/>
      <c r="AC13" s="53"/>
      <c r="AD13"/>
      <c r="AE13"/>
      <c r="AF13"/>
      <c r="AG13"/>
      <c r="AH13"/>
      <c r="AI13"/>
      <c r="AJ13"/>
      <c r="AK13"/>
      <c r="AL13"/>
      <c r="AM13"/>
      <c r="AN13"/>
      <c r="AO13"/>
      <c r="AP13"/>
    </row>
    <row r="14" spans="1:42">
      <c r="A14" s="48" t="s">
        <v>89</v>
      </c>
      <c r="B14" s="46" t="s">
        <v>109</v>
      </c>
      <c r="C14" s="46" t="s">
        <v>110</v>
      </c>
      <c r="D14" s="46" t="s">
        <v>91</v>
      </c>
      <c r="E14" s="46" t="s">
        <v>104</v>
      </c>
      <c r="F14" s="46" t="s">
        <v>89</v>
      </c>
      <c r="G14" s="46"/>
      <c r="H14" s="46" t="s">
        <v>111</v>
      </c>
      <c r="I14" s="46">
        <v>915</v>
      </c>
      <c r="J14" s="46"/>
      <c r="K14" s="46"/>
      <c r="L14" s="46"/>
      <c r="M14" s="46">
        <v>915</v>
      </c>
      <c r="N14" s="91"/>
      <c r="O14" s="91"/>
      <c r="P14" s="91"/>
      <c r="Q14" s="91"/>
      <c r="R14" s="91"/>
      <c r="S14" s="91"/>
      <c r="T14" s="22"/>
      <c r="U14" s="145"/>
      <c r="V14" s="145"/>
      <c r="W14" s="145"/>
      <c r="X14" s="145"/>
      <c r="Y14" s="145"/>
      <c r="Z14" s="145"/>
      <c r="AA14" s="145"/>
      <c r="AB14" s="53"/>
      <c r="AC14" s="53"/>
      <c r="AD14"/>
      <c r="AE14"/>
      <c r="AF14"/>
      <c r="AG14"/>
      <c r="AH14"/>
      <c r="AI14"/>
      <c r="AJ14"/>
      <c r="AK14"/>
      <c r="AL14"/>
      <c r="AM14"/>
      <c r="AN14"/>
      <c r="AO14"/>
      <c r="AP14"/>
    </row>
    <row r="15" spans="1:42">
      <c r="A15" s="48" t="s">
        <v>89</v>
      </c>
      <c r="B15" s="46" t="s">
        <v>99</v>
      </c>
      <c r="C15" s="46" t="s">
        <v>112</v>
      </c>
      <c r="D15" s="46" t="s">
        <v>104</v>
      </c>
      <c r="E15" s="46" t="s">
        <v>88</v>
      </c>
      <c r="F15" s="46" t="s">
        <v>89</v>
      </c>
      <c r="G15" s="46" t="s">
        <v>113</v>
      </c>
      <c r="H15" s="46" t="s">
        <v>114</v>
      </c>
      <c r="I15" s="46">
        <v>-90682</v>
      </c>
      <c r="J15" s="46"/>
      <c r="K15" s="46"/>
      <c r="L15" s="46"/>
      <c r="M15" s="46">
        <v>-90682</v>
      </c>
      <c r="N15" s="91"/>
      <c r="O15" s="91"/>
      <c r="P15" s="91"/>
      <c r="Q15" s="91"/>
      <c r="R15" s="91"/>
      <c r="S15" s="91"/>
      <c r="T15" s="22"/>
      <c r="U15" s="145"/>
      <c r="V15" s="145"/>
      <c r="W15" s="145"/>
      <c r="X15" s="145"/>
      <c r="Y15" s="145"/>
      <c r="Z15" s="145"/>
      <c r="AA15" s="145"/>
      <c r="AB15" s="53"/>
      <c r="AC15" s="53"/>
      <c r="AD15"/>
      <c r="AE15"/>
      <c r="AF15"/>
      <c r="AG15"/>
      <c r="AH15"/>
      <c r="AI15"/>
      <c r="AJ15"/>
      <c r="AK15"/>
      <c r="AL15"/>
      <c r="AM15"/>
      <c r="AN15"/>
      <c r="AO15"/>
      <c r="AP15"/>
    </row>
    <row r="16" spans="1:42">
      <c r="A16" s="48" t="s">
        <v>93</v>
      </c>
      <c r="B16" s="46" t="s">
        <v>86</v>
      </c>
      <c r="C16" s="46" t="s">
        <v>115</v>
      </c>
      <c r="D16" s="46" t="s">
        <v>104</v>
      </c>
      <c r="E16" s="46" t="s">
        <v>91</v>
      </c>
      <c r="F16" s="46" t="s">
        <v>96</v>
      </c>
      <c r="G16" s="46"/>
      <c r="H16" s="46" t="s">
        <v>116</v>
      </c>
      <c r="I16" s="46">
        <v>-496377</v>
      </c>
      <c r="J16" s="46"/>
      <c r="K16" s="46"/>
      <c r="L16" s="46"/>
      <c r="M16" s="46">
        <v>-496377</v>
      </c>
      <c r="N16" s="91"/>
      <c r="O16" s="91"/>
      <c r="P16" s="91"/>
      <c r="Q16" s="91"/>
      <c r="R16" s="91"/>
      <c r="S16" s="91"/>
      <c r="T16" s="22"/>
      <c r="U16" s="145"/>
      <c r="V16" s="145"/>
      <c r="W16" s="145"/>
      <c r="X16" s="145"/>
      <c r="Y16" s="145"/>
      <c r="Z16" s="145"/>
      <c r="AA16" s="145"/>
      <c r="AB16" s="53"/>
      <c r="AC16" s="53"/>
      <c r="AD16"/>
      <c r="AE16"/>
      <c r="AF16"/>
      <c r="AG16"/>
      <c r="AH16"/>
      <c r="AI16"/>
      <c r="AJ16"/>
      <c r="AK16"/>
      <c r="AL16"/>
      <c r="AM16"/>
      <c r="AN16"/>
      <c r="AO16"/>
      <c r="AP16"/>
    </row>
    <row r="17" spans="1:42">
      <c r="A17" s="49" t="s">
        <v>93</v>
      </c>
      <c r="B17" s="50" t="s">
        <v>86</v>
      </c>
      <c r="C17" s="50" t="s">
        <v>117</v>
      </c>
      <c r="D17" s="50" t="s">
        <v>104</v>
      </c>
      <c r="E17" s="50" t="s">
        <v>91</v>
      </c>
      <c r="F17" s="50" t="s">
        <v>96</v>
      </c>
      <c r="G17" s="50"/>
      <c r="H17" s="50" t="s">
        <v>118</v>
      </c>
      <c r="I17" s="50">
        <v>-291229</v>
      </c>
      <c r="J17" s="50"/>
      <c r="K17" s="50"/>
      <c r="L17" s="50"/>
      <c r="M17" s="50"/>
      <c r="N17" s="91"/>
      <c r="O17" s="91"/>
      <c r="P17" s="91"/>
      <c r="Q17" s="91"/>
      <c r="R17" s="91"/>
      <c r="S17" s="91"/>
      <c r="T17" s="22"/>
      <c r="U17" s="145"/>
      <c r="V17" s="145">
        <v>-291229</v>
      </c>
      <c r="W17" s="145"/>
      <c r="X17" s="145"/>
      <c r="Y17" s="145"/>
      <c r="Z17" s="145"/>
      <c r="AA17" s="145"/>
      <c r="AB17" s="53"/>
      <c r="AC17" s="53"/>
      <c r="AD17"/>
      <c r="AE17"/>
      <c r="AF17"/>
      <c r="AG17"/>
      <c r="AH17"/>
      <c r="AI17"/>
      <c r="AJ17"/>
      <c r="AK17"/>
      <c r="AL17"/>
      <c r="AM17"/>
      <c r="AN17"/>
      <c r="AO17"/>
      <c r="AP17"/>
    </row>
    <row r="18" spans="1:42">
      <c r="A18" s="62" t="s">
        <v>92</v>
      </c>
      <c r="B18" s="63" t="s">
        <v>86</v>
      </c>
      <c r="C18" s="63" t="s">
        <v>119</v>
      </c>
      <c r="D18" s="63" t="s">
        <v>104</v>
      </c>
      <c r="E18" s="63" t="s">
        <v>91</v>
      </c>
      <c r="F18" s="63" t="s">
        <v>96</v>
      </c>
      <c r="G18" s="63"/>
      <c r="H18" s="63" t="s">
        <v>118</v>
      </c>
      <c r="I18" s="63">
        <v>-544538</v>
      </c>
      <c r="J18" s="63"/>
      <c r="K18" s="63"/>
      <c r="L18" s="63"/>
      <c r="M18" s="63"/>
      <c r="N18" s="91"/>
      <c r="O18" s="91"/>
      <c r="P18" s="91"/>
      <c r="Q18" s="91"/>
      <c r="R18" s="91"/>
      <c r="S18" s="91"/>
      <c r="T18" s="22"/>
      <c r="U18" s="145"/>
      <c r="V18" s="145">
        <v>-544538</v>
      </c>
      <c r="W18" s="145"/>
      <c r="X18" s="145"/>
      <c r="Y18" s="145"/>
      <c r="Z18" s="145"/>
      <c r="AA18" s="145"/>
      <c r="AB18" s="53"/>
      <c r="AC18" s="53"/>
      <c r="AD18"/>
      <c r="AE18"/>
      <c r="AF18"/>
      <c r="AG18"/>
      <c r="AH18"/>
      <c r="AI18"/>
      <c r="AJ18"/>
      <c r="AK18"/>
      <c r="AL18"/>
      <c r="AM18"/>
      <c r="AN18"/>
      <c r="AO18"/>
      <c r="AP18"/>
    </row>
    <row r="19" spans="1:42">
      <c r="A19" s="73" t="s">
        <v>92</v>
      </c>
      <c r="B19" s="75" t="s">
        <v>86</v>
      </c>
      <c r="C19" s="75" t="s">
        <v>120</v>
      </c>
      <c r="D19" s="75" t="s">
        <v>104</v>
      </c>
      <c r="E19" s="75" t="s">
        <v>91</v>
      </c>
      <c r="F19" s="75" t="s">
        <v>96</v>
      </c>
      <c r="G19" s="75"/>
      <c r="H19" s="75" t="s">
        <v>118</v>
      </c>
      <c r="I19" s="75">
        <v>-69870</v>
      </c>
      <c r="J19" s="75"/>
      <c r="K19" s="75"/>
      <c r="L19" s="75"/>
      <c r="M19" s="75"/>
      <c r="N19" s="91"/>
      <c r="O19" s="91"/>
      <c r="P19" s="91"/>
      <c r="Q19" s="91"/>
      <c r="R19" s="91"/>
      <c r="S19" s="91"/>
      <c r="T19" s="22"/>
      <c r="U19" s="145"/>
      <c r="V19" s="145">
        <v>-69870</v>
      </c>
      <c r="W19" s="145"/>
      <c r="X19" s="145"/>
      <c r="Y19" s="145"/>
      <c r="Z19" s="145"/>
      <c r="AA19" s="145"/>
      <c r="AB19" s="53"/>
      <c r="AC19" s="53"/>
      <c r="AH19"/>
      <c r="AI19"/>
      <c r="AJ19"/>
      <c r="AK19"/>
      <c r="AL19"/>
      <c r="AM19"/>
      <c r="AN19"/>
      <c r="AO19"/>
      <c r="AP19"/>
    </row>
    <row r="20" spans="1:42">
      <c r="A20" s="74" t="s">
        <v>92</v>
      </c>
      <c r="B20" s="76" t="s">
        <v>86</v>
      </c>
      <c r="C20" s="76" t="s">
        <v>121</v>
      </c>
      <c r="D20" s="76" t="s">
        <v>104</v>
      </c>
      <c r="E20" s="76" t="s">
        <v>122</v>
      </c>
      <c r="F20" s="76" t="s">
        <v>97</v>
      </c>
      <c r="G20" s="76"/>
      <c r="H20" s="76" t="s">
        <v>123</v>
      </c>
      <c r="I20" s="76">
        <v>-473063</v>
      </c>
      <c r="J20" s="76"/>
      <c r="K20" s="76"/>
      <c r="L20" s="76"/>
      <c r="M20" s="76">
        <v>-473063</v>
      </c>
      <c r="N20" s="91"/>
      <c r="O20" s="91"/>
      <c r="P20" s="91"/>
      <c r="Q20" s="91"/>
      <c r="R20" s="91"/>
      <c r="S20" s="91"/>
      <c r="T20" s="22"/>
      <c r="U20" s="145"/>
      <c r="V20" s="145"/>
      <c r="W20" s="145"/>
      <c r="X20" s="145"/>
      <c r="Y20" s="145"/>
      <c r="Z20" s="145"/>
      <c r="AA20" s="145"/>
      <c r="AB20" s="53"/>
      <c r="AC20" s="53"/>
      <c r="AD20" s="54"/>
      <c r="AE20" s="54"/>
      <c r="AF20" s="54"/>
      <c r="AG20" s="54"/>
      <c r="AH20"/>
      <c r="AI20"/>
      <c r="AJ20"/>
      <c r="AK20"/>
      <c r="AL20"/>
      <c r="AM20"/>
      <c r="AN20"/>
      <c r="AO20"/>
      <c r="AP20"/>
    </row>
    <row r="21" spans="1:42">
      <c r="A21" s="78" t="s">
        <v>92</v>
      </c>
      <c r="B21" s="79" t="s">
        <v>87</v>
      </c>
      <c r="C21" s="79" t="s">
        <v>106</v>
      </c>
      <c r="D21" s="79" t="s">
        <v>91</v>
      </c>
      <c r="E21" s="79" t="s">
        <v>104</v>
      </c>
      <c r="F21" s="79" t="s">
        <v>92</v>
      </c>
      <c r="G21" s="79" t="s">
        <v>107</v>
      </c>
      <c r="H21" s="79" t="s">
        <v>108</v>
      </c>
      <c r="I21" s="79">
        <v>307204</v>
      </c>
      <c r="J21" s="79"/>
      <c r="K21" s="79"/>
      <c r="L21" s="79"/>
      <c r="M21" s="79"/>
      <c r="N21" s="91"/>
      <c r="O21" s="91"/>
      <c r="P21" s="91"/>
      <c r="Q21" s="91"/>
      <c r="R21" s="91"/>
      <c r="S21" s="91"/>
      <c r="T21" s="22"/>
      <c r="U21" s="145"/>
      <c r="V21" s="145">
        <v>307204</v>
      </c>
      <c r="W21" s="145"/>
      <c r="X21" s="145"/>
      <c r="Y21" s="145"/>
      <c r="Z21" s="145"/>
      <c r="AA21" s="145"/>
      <c r="AB21" s="53"/>
      <c r="AC21" s="53"/>
      <c r="AH21"/>
      <c r="AI21"/>
      <c r="AJ21"/>
      <c r="AK21"/>
      <c r="AL21"/>
      <c r="AM21"/>
      <c r="AN21"/>
      <c r="AO21"/>
      <c r="AP21"/>
    </row>
    <row r="22" spans="1:42">
      <c r="A22" s="80" t="s">
        <v>96</v>
      </c>
      <c r="B22" s="81" t="s">
        <v>86</v>
      </c>
      <c r="C22" s="81" t="s">
        <v>124</v>
      </c>
      <c r="D22" s="81" t="s">
        <v>104</v>
      </c>
      <c r="E22" s="81" t="s">
        <v>88</v>
      </c>
      <c r="F22" s="81" t="s">
        <v>97</v>
      </c>
      <c r="G22" s="81"/>
      <c r="H22" s="81" t="s">
        <v>125</v>
      </c>
      <c r="I22" s="81">
        <v>-78140</v>
      </c>
      <c r="J22" s="81"/>
      <c r="K22" s="81"/>
      <c r="L22" s="81"/>
      <c r="M22" s="81">
        <v>-78140</v>
      </c>
      <c r="N22" s="91"/>
      <c r="O22" s="91"/>
      <c r="P22" s="91"/>
      <c r="Q22" s="91"/>
      <c r="R22" s="91"/>
      <c r="S22" s="91"/>
      <c r="T22" s="22"/>
      <c r="U22" s="145"/>
      <c r="V22" s="145"/>
      <c r="W22" s="145"/>
      <c r="X22" s="145"/>
      <c r="Y22" s="145"/>
      <c r="Z22" s="145"/>
      <c r="AA22" s="145"/>
      <c r="AB22" s="53"/>
      <c r="AC22" s="53"/>
      <c r="AH22"/>
      <c r="AI22"/>
      <c r="AJ22"/>
      <c r="AK22"/>
      <c r="AL22"/>
      <c r="AM22"/>
      <c r="AN22"/>
      <c r="AO22"/>
      <c r="AP22"/>
    </row>
    <row r="23" spans="1:42">
      <c r="A23" s="82" t="s">
        <v>96</v>
      </c>
      <c r="B23" s="84" t="s">
        <v>86</v>
      </c>
      <c r="C23" s="84" t="s">
        <v>126</v>
      </c>
      <c r="D23" s="84" t="s">
        <v>104</v>
      </c>
      <c r="E23" s="84" t="s">
        <v>127</v>
      </c>
      <c r="F23" s="84" t="s">
        <v>97</v>
      </c>
      <c r="G23" s="84" t="s">
        <v>128</v>
      </c>
      <c r="H23" s="84" t="s">
        <v>129</v>
      </c>
      <c r="I23" s="84">
        <v>-141056</v>
      </c>
      <c r="J23" s="84"/>
      <c r="K23" s="84"/>
      <c r="L23" s="84"/>
      <c r="M23" s="84">
        <v>-141056</v>
      </c>
      <c r="N23" s="91"/>
      <c r="O23" s="91"/>
      <c r="P23" s="91"/>
      <c r="Q23" s="91"/>
      <c r="R23" s="91"/>
      <c r="S23" s="91"/>
      <c r="T23" s="22"/>
      <c r="U23" s="145"/>
      <c r="V23" s="145"/>
      <c r="W23" s="145"/>
      <c r="X23" s="145"/>
      <c r="Y23" s="145"/>
      <c r="Z23" s="145"/>
      <c r="AA23" s="145"/>
      <c r="AB23" s="53"/>
      <c r="AC23" s="53"/>
      <c r="AH23"/>
      <c r="AI23"/>
      <c r="AJ23"/>
      <c r="AK23"/>
      <c r="AL23"/>
      <c r="AM23"/>
      <c r="AN23"/>
      <c r="AO23"/>
      <c r="AP23"/>
    </row>
    <row r="24" spans="1:42">
      <c r="A24" s="83" t="s">
        <v>96</v>
      </c>
      <c r="B24" s="85" t="s">
        <v>86</v>
      </c>
      <c r="C24" s="85" t="s">
        <v>130</v>
      </c>
      <c r="D24" s="85" t="s">
        <v>104</v>
      </c>
      <c r="E24" s="85" t="s">
        <v>122</v>
      </c>
      <c r="F24" s="85" t="s">
        <v>90</v>
      </c>
      <c r="G24" s="85"/>
      <c r="H24" s="85" t="s">
        <v>131</v>
      </c>
      <c r="I24" s="85">
        <v>-1212842</v>
      </c>
      <c r="J24" s="85"/>
      <c r="K24" s="85"/>
      <c r="L24" s="85"/>
      <c r="M24" s="85"/>
      <c r="N24" s="91"/>
      <c r="O24" s="91"/>
      <c r="P24" s="91"/>
      <c r="Q24" s="91"/>
      <c r="R24" s="91"/>
      <c r="S24" s="91"/>
      <c r="T24" s="22"/>
      <c r="U24" s="145"/>
      <c r="V24" s="145">
        <v>-1212842</v>
      </c>
      <c r="W24" s="145"/>
      <c r="X24" s="145"/>
      <c r="Y24" s="145"/>
      <c r="Z24" s="145"/>
      <c r="AA24" s="145"/>
      <c r="AB24" s="53"/>
      <c r="AC24" s="53"/>
      <c r="AH24"/>
      <c r="AI24"/>
      <c r="AJ24"/>
      <c r="AK24"/>
      <c r="AL24"/>
      <c r="AM24"/>
      <c r="AN24"/>
      <c r="AO24"/>
      <c r="AP24"/>
    </row>
    <row r="25" spans="1:42">
      <c r="A25" s="16" t="s">
        <v>96</v>
      </c>
      <c r="B25" s="16" t="s">
        <v>86</v>
      </c>
      <c r="C25" s="16" t="s">
        <v>132</v>
      </c>
      <c r="D25" s="16" t="s">
        <v>104</v>
      </c>
      <c r="E25" s="16" t="s">
        <v>122</v>
      </c>
      <c r="F25" s="16" t="s">
        <v>90</v>
      </c>
      <c r="H25" s="16" t="s">
        <v>133</v>
      </c>
      <c r="I25" s="16">
        <v>-560000</v>
      </c>
      <c r="M25" s="16">
        <v>-560000</v>
      </c>
      <c r="N25" s="92"/>
      <c r="O25" s="92"/>
      <c r="P25" s="92"/>
      <c r="Q25" s="92"/>
      <c r="R25" s="92"/>
      <c r="S25" s="92"/>
      <c r="U25" s="146"/>
      <c r="V25" s="146"/>
      <c r="W25" s="146"/>
      <c r="X25" s="146"/>
      <c r="Y25" s="146"/>
      <c r="Z25" s="145"/>
      <c r="AA25" s="145"/>
      <c r="AB25" s="53"/>
      <c r="AC25" s="53"/>
      <c r="AH25"/>
      <c r="AI25"/>
      <c r="AJ25"/>
      <c r="AK25"/>
      <c r="AL25"/>
      <c r="AM25"/>
      <c r="AN25"/>
      <c r="AO25"/>
      <c r="AP25"/>
    </row>
    <row r="26" spans="1:42">
      <c r="A26" s="16" t="s">
        <v>96</v>
      </c>
      <c r="B26" s="16" t="s">
        <v>86</v>
      </c>
      <c r="C26" s="16" t="s">
        <v>134</v>
      </c>
      <c r="D26" s="16" t="s">
        <v>104</v>
      </c>
      <c r="E26" s="16" t="s">
        <v>91</v>
      </c>
      <c r="F26" s="16" t="s">
        <v>97</v>
      </c>
      <c r="H26" s="16" t="s">
        <v>116</v>
      </c>
      <c r="I26" s="16">
        <v>-200000</v>
      </c>
      <c r="M26" s="16">
        <v>-200000</v>
      </c>
      <c r="N26" s="92"/>
      <c r="O26" s="92"/>
      <c r="P26" s="92"/>
      <c r="Q26" s="92"/>
      <c r="R26" s="92"/>
      <c r="S26" s="92"/>
      <c r="U26" s="146"/>
      <c r="V26" s="146"/>
      <c r="W26" s="146"/>
      <c r="X26" s="146"/>
      <c r="Y26" s="146"/>
      <c r="Z26" s="145"/>
      <c r="AA26" s="145"/>
      <c r="AB26" s="53"/>
      <c r="AC26" s="53"/>
      <c r="AH26"/>
      <c r="AI26"/>
      <c r="AJ26"/>
      <c r="AK26"/>
      <c r="AL26"/>
      <c r="AM26"/>
      <c r="AN26"/>
      <c r="AO26"/>
      <c r="AP26"/>
    </row>
    <row r="27" spans="1:42">
      <c r="A27" s="16" t="s">
        <v>96</v>
      </c>
      <c r="B27" s="16" t="s">
        <v>87</v>
      </c>
      <c r="C27" s="16" t="s">
        <v>115</v>
      </c>
      <c r="D27" s="16" t="s">
        <v>91</v>
      </c>
      <c r="E27" s="16" t="s">
        <v>104</v>
      </c>
      <c r="F27" s="16" t="s">
        <v>96</v>
      </c>
      <c r="H27" s="16" t="s">
        <v>116</v>
      </c>
      <c r="I27" s="16">
        <v>496377</v>
      </c>
      <c r="M27" s="16">
        <v>496377</v>
      </c>
      <c r="N27" s="92"/>
      <c r="O27" s="92"/>
      <c r="P27" s="92"/>
      <c r="Q27" s="92"/>
      <c r="R27" s="92"/>
      <c r="S27" s="92"/>
      <c r="U27" s="146"/>
      <c r="V27" s="146"/>
      <c r="W27" s="146"/>
      <c r="X27" s="146"/>
      <c r="Y27" s="146"/>
      <c r="Z27" s="145"/>
      <c r="AA27" s="145"/>
      <c r="AB27" s="53"/>
      <c r="AC27" s="53"/>
      <c r="AH27"/>
      <c r="AI27"/>
      <c r="AJ27"/>
      <c r="AK27"/>
      <c r="AL27"/>
      <c r="AM27"/>
      <c r="AN27"/>
      <c r="AO27"/>
      <c r="AP27"/>
    </row>
    <row r="28" spans="1:42">
      <c r="A28" s="16" t="s">
        <v>96</v>
      </c>
      <c r="B28" s="16" t="s">
        <v>87</v>
      </c>
      <c r="C28" s="16" t="s">
        <v>117</v>
      </c>
      <c r="D28" s="16" t="s">
        <v>91</v>
      </c>
      <c r="E28" s="16" t="s">
        <v>104</v>
      </c>
      <c r="F28" s="16" t="s">
        <v>96</v>
      </c>
      <c r="H28" s="16" t="s">
        <v>118</v>
      </c>
      <c r="I28" s="16">
        <v>291229</v>
      </c>
      <c r="N28" s="92"/>
      <c r="O28" s="92"/>
      <c r="P28" s="92"/>
      <c r="Q28" s="92"/>
      <c r="R28" s="92"/>
      <c r="S28" s="92"/>
      <c r="U28" s="146"/>
      <c r="V28" s="146">
        <v>291229</v>
      </c>
      <c r="W28" s="146"/>
      <c r="X28" s="146"/>
      <c r="Y28" s="146"/>
      <c r="Z28" s="145"/>
      <c r="AA28" s="145"/>
      <c r="AB28" s="53"/>
      <c r="AC28" s="53"/>
      <c r="AH28"/>
      <c r="AI28"/>
      <c r="AJ28"/>
      <c r="AK28"/>
      <c r="AL28"/>
      <c r="AM28"/>
      <c r="AN28"/>
      <c r="AO28"/>
      <c r="AP28"/>
    </row>
    <row r="29" spans="1:42">
      <c r="A29" s="16" t="s">
        <v>96</v>
      </c>
      <c r="B29" s="16" t="s">
        <v>87</v>
      </c>
      <c r="C29" s="16" t="s">
        <v>119</v>
      </c>
      <c r="D29" s="16" t="s">
        <v>91</v>
      </c>
      <c r="E29" s="16" t="s">
        <v>104</v>
      </c>
      <c r="F29" s="16" t="s">
        <v>96</v>
      </c>
      <c r="H29" s="16" t="s">
        <v>118</v>
      </c>
      <c r="I29" s="16">
        <v>544538</v>
      </c>
      <c r="N29" s="92"/>
      <c r="O29" s="92"/>
      <c r="P29" s="92"/>
      <c r="Q29" s="92"/>
      <c r="R29" s="92"/>
      <c r="S29" s="92"/>
      <c r="U29" s="146"/>
      <c r="V29" s="146">
        <v>544538</v>
      </c>
      <c r="W29" s="146"/>
      <c r="X29" s="146"/>
      <c r="Y29" s="146"/>
      <c r="Z29" s="145"/>
      <c r="AA29" s="145"/>
      <c r="AB29" s="53"/>
      <c r="AC29" s="53"/>
      <c r="AH29"/>
      <c r="AI29"/>
      <c r="AJ29"/>
      <c r="AK29"/>
      <c r="AL29"/>
      <c r="AM29"/>
      <c r="AN29"/>
      <c r="AO29"/>
      <c r="AP29"/>
    </row>
    <row r="30" spans="1:42">
      <c r="A30" s="16" t="s">
        <v>96</v>
      </c>
      <c r="B30" s="16" t="s">
        <v>87</v>
      </c>
      <c r="C30" s="16" t="s">
        <v>120</v>
      </c>
      <c r="D30" s="16" t="s">
        <v>91</v>
      </c>
      <c r="E30" s="16" t="s">
        <v>104</v>
      </c>
      <c r="F30" s="16" t="s">
        <v>96</v>
      </c>
      <c r="H30" s="16" t="s">
        <v>118</v>
      </c>
      <c r="I30" s="16">
        <v>69870</v>
      </c>
      <c r="N30" s="92"/>
      <c r="O30" s="92"/>
      <c r="P30" s="92"/>
      <c r="Q30" s="92"/>
      <c r="R30" s="92"/>
      <c r="S30" s="92"/>
      <c r="U30" s="146"/>
      <c r="V30" s="146">
        <v>69870</v>
      </c>
      <c r="W30" s="146"/>
      <c r="X30" s="146"/>
      <c r="Y30" s="146"/>
      <c r="Z30" s="145"/>
      <c r="AA30" s="145"/>
      <c r="AB30" s="53"/>
      <c r="AC30" s="53"/>
      <c r="AH30"/>
      <c r="AI30"/>
      <c r="AJ30"/>
      <c r="AK30"/>
      <c r="AL30"/>
      <c r="AM30"/>
      <c r="AN30"/>
      <c r="AO30"/>
      <c r="AP30"/>
    </row>
    <row r="31" spans="1:42">
      <c r="A31" s="16" t="s">
        <v>97</v>
      </c>
      <c r="B31" s="16" t="s">
        <v>86</v>
      </c>
      <c r="C31" s="16" t="s">
        <v>145</v>
      </c>
      <c r="D31" s="16" t="s">
        <v>104</v>
      </c>
      <c r="E31" s="16" t="s">
        <v>88</v>
      </c>
      <c r="F31" s="16" t="s">
        <v>159</v>
      </c>
      <c r="G31" s="16" t="s">
        <v>143</v>
      </c>
      <c r="H31" s="16" t="s">
        <v>144</v>
      </c>
      <c r="I31" s="16">
        <v>-841253</v>
      </c>
      <c r="M31" s="16">
        <v>-841253</v>
      </c>
      <c r="N31" s="92"/>
      <c r="O31" s="92"/>
      <c r="P31" s="92"/>
      <c r="Q31" s="92"/>
      <c r="R31" s="92"/>
      <c r="S31" s="92"/>
      <c r="U31" s="146"/>
      <c r="V31" s="146"/>
      <c r="W31" s="146"/>
      <c r="X31" s="146"/>
      <c r="Y31" s="146"/>
      <c r="Z31" s="145"/>
      <c r="AA31" s="145"/>
      <c r="AB31" s="53"/>
      <c r="AC31" s="53"/>
      <c r="AH31"/>
      <c r="AI31"/>
      <c r="AJ31"/>
      <c r="AK31"/>
      <c r="AL31"/>
      <c r="AM31"/>
      <c r="AN31"/>
      <c r="AO31"/>
      <c r="AP31"/>
    </row>
    <row r="32" spans="1:42">
      <c r="A32" s="16" t="s">
        <v>97</v>
      </c>
      <c r="B32" s="16" t="s">
        <v>86</v>
      </c>
      <c r="C32" s="16" t="s">
        <v>150</v>
      </c>
      <c r="D32" s="16" t="s">
        <v>104</v>
      </c>
      <c r="E32" s="16" t="s">
        <v>88</v>
      </c>
      <c r="F32" s="16" t="s">
        <v>90</v>
      </c>
      <c r="G32" s="16" t="s">
        <v>151</v>
      </c>
      <c r="H32" s="16" t="s">
        <v>152</v>
      </c>
      <c r="I32" s="16">
        <v>-163104.76999999999</v>
      </c>
      <c r="M32" s="16">
        <v>-133766.26999999999</v>
      </c>
      <c r="N32" s="92"/>
      <c r="O32" s="92"/>
      <c r="P32" s="92"/>
      <c r="Q32" s="92"/>
      <c r="R32" s="92"/>
      <c r="S32" s="92"/>
      <c r="U32" s="146"/>
      <c r="V32" s="146">
        <v>-29338.5</v>
      </c>
      <c r="W32" s="146"/>
      <c r="X32" s="146"/>
      <c r="Y32" s="146"/>
      <c r="Z32" s="145"/>
      <c r="AA32" s="145"/>
      <c r="AB32" s="53"/>
      <c r="AC32" s="53"/>
      <c r="AH32"/>
      <c r="AI32"/>
      <c r="AJ32"/>
      <c r="AK32"/>
      <c r="AL32"/>
      <c r="AM32"/>
      <c r="AN32"/>
      <c r="AO32"/>
      <c r="AP32"/>
    </row>
    <row r="33" spans="1:42">
      <c r="A33" s="16" t="s">
        <v>97</v>
      </c>
      <c r="B33" s="16" t="s">
        <v>86</v>
      </c>
      <c r="C33" s="16" t="s">
        <v>155</v>
      </c>
      <c r="D33" s="16" t="s">
        <v>104</v>
      </c>
      <c r="E33" s="16" t="s">
        <v>88</v>
      </c>
      <c r="F33" s="16" t="s">
        <v>90</v>
      </c>
      <c r="G33" s="16" t="s">
        <v>154</v>
      </c>
      <c r="H33" s="16" t="s">
        <v>156</v>
      </c>
      <c r="I33" s="16">
        <v>-264042</v>
      </c>
      <c r="N33" s="92"/>
      <c r="O33" s="92"/>
      <c r="P33" s="92"/>
      <c r="Q33" s="92"/>
      <c r="R33" s="92"/>
      <c r="S33" s="92"/>
      <c r="U33" s="146"/>
      <c r="V33" s="146">
        <v>-264042</v>
      </c>
      <c r="W33" s="146"/>
      <c r="X33" s="146"/>
      <c r="Y33" s="146"/>
      <c r="Z33" s="145"/>
      <c r="AA33" s="145"/>
      <c r="AB33" s="53"/>
      <c r="AC33" s="53"/>
      <c r="AH33"/>
      <c r="AI33"/>
      <c r="AJ33"/>
      <c r="AK33"/>
      <c r="AL33"/>
      <c r="AM33"/>
      <c r="AN33"/>
      <c r="AO33"/>
      <c r="AP33"/>
    </row>
    <row r="34" spans="1:42">
      <c r="A34" s="16" t="s">
        <v>97</v>
      </c>
      <c r="B34" s="16" t="s">
        <v>86</v>
      </c>
      <c r="C34" s="16" t="s">
        <v>146</v>
      </c>
      <c r="D34" s="16" t="s">
        <v>104</v>
      </c>
      <c r="E34" s="16" t="s">
        <v>122</v>
      </c>
      <c r="F34" s="16" t="s">
        <v>90</v>
      </c>
      <c r="H34" s="16" t="s">
        <v>131</v>
      </c>
      <c r="I34" s="16">
        <v>-486888</v>
      </c>
      <c r="N34" s="92"/>
      <c r="O34" s="92"/>
      <c r="P34" s="92"/>
      <c r="Q34" s="92"/>
      <c r="R34" s="92"/>
      <c r="S34" s="92"/>
      <c r="U34" s="146"/>
      <c r="V34" s="146">
        <v>-486888</v>
      </c>
      <c r="W34" s="146"/>
      <c r="X34" s="146"/>
      <c r="Y34" s="146"/>
      <c r="Z34" s="145"/>
      <c r="AA34" s="145"/>
      <c r="AB34" s="53"/>
      <c r="AC34" s="53"/>
      <c r="AH34"/>
      <c r="AI34"/>
      <c r="AJ34"/>
      <c r="AK34"/>
      <c r="AL34"/>
      <c r="AM34"/>
      <c r="AN34"/>
      <c r="AO34"/>
      <c r="AP34"/>
    </row>
    <row r="35" spans="1:42">
      <c r="A35" s="16" t="s">
        <v>97</v>
      </c>
      <c r="B35" s="16" t="s">
        <v>87</v>
      </c>
      <c r="C35" s="16" t="s">
        <v>124</v>
      </c>
      <c r="D35" s="16" t="s">
        <v>88</v>
      </c>
      <c r="E35" s="16" t="s">
        <v>104</v>
      </c>
      <c r="F35" s="16" t="s">
        <v>97</v>
      </c>
      <c r="H35" s="16" t="s">
        <v>125</v>
      </c>
      <c r="I35" s="16">
        <v>78140</v>
      </c>
      <c r="M35" s="16">
        <v>78140</v>
      </c>
      <c r="N35" s="92"/>
      <c r="O35" s="92"/>
      <c r="P35" s="92"/>
      <c r="Q35" s="92"/>
      <c r="R35" s="92"/>
      <c r="S35" s="92"/>
      <c r="U35" s="146"/>
      <c r="V35" s="146"/>
      <c r="W35" s="146"/>
      <c r="X35" s="146"/>
      <c r="Y35" s="146"/>
      <c r="Z35" s="145"/>
      <c r="AA35" s="145"/>
      <c r="AB35" s="53"/>
      <c r="AC35" s="53"/>
      <c r="AH35"/>
      <c r="AI35"/>
      <c r="AJ35"/>
      <c r="AK35"/>
      <c r="AL35"/>
      <c r="AM35"/>
      <c r="AN35"/>
      <c r="AO35"/>
      <c r="AP35"/>
    </row>
    <row r="36" spans="1:42">
      <c r="A36" s="16" t="s">
        <v>97</v>
      </c>
      <c r="B36" s="16" t="s">
        <v>87</v>
      </c>
      <c r="C36" s="16" t="s">
        <v>126</v>
      </c>
      <c r="D36" s="16" t="s">
        <v>127</v>
      </c>
      <c r="E36" s="16" t="s">
        <v>104</v>
      </c>
      <c r="F36" s="16" t="s">
        <v>97</v>
      </c>
      <c r="G36" s="16" t="s">
        <v>128</v>
      </c>
      <c r="H36" s="16" t="s">
        <v>129</v>
      </c>
      <c r="I36" s="16">
        <v>141056</v>
      </c>
      <c r="M36" s="16">
        <v>141056</v>
      </c>
      <c r="N36" s="92"/>
      <c r="O36" s="92"/>
      <c r="P36" s="92"/>
      <c r="Q36" s="92"/>
      <c r="R36" s="92"/>
      <c r="S36" s="92"/>
      <c r="U36" s="146"/>
      <c r="V36" s="146"/>
      <c r="W36" s="146"/>
      <c r="X36" s="146"/>
      <c r="Y36" s="146"/>
      <c r="Z36" s="145"/>
      <c r="AA36" s="145"/>
      <c r="AB36" s="53"/>
      <c r="AC36" s="53"/>
      <c r="AH36"/>
      <c r="AI36"/>
      <c r="AJ36"/>
      <c r="AK36"/>
      <c r="AL36"/>
      <c r="AM36"/>
      <c r="AN36"/>
      <c r="AO36"/>
      <c r="AP36"/>
    </row>
    <row r="37" spans="1:42">
      <c r="A37" s="16" t="s">
        <v>97</v>
      </c>
      <c r="B37" s="16" t="s">
        <v>87</v>
      </c>
      <c r="C37" s="16" t="s">
        <v>121</v>
      </c>
      <c r="D37" s="16" t="s">
        <v>122</v>
      </c>
      <c r="E37" s="16" t="s">
        <v>104</v>
      </c>
      <c r="F37" s="16" t="s">
        <v>97</v>
      </c>
      <c r="H37" s="16" t="s">
        <v>123</v>
      </c>
      <c r="I37" s="16">
        <v>473063</v>
      </c>
      <c r="U37" s="146"/>
      <c r="V37" s="146">
        <v>473063</v>
      </c>
      <c r="W37" s="146"/>
      <c r="X37" s="146"/>
      <c r="Y37" s="146"/>
      <c r="Z37" s="145"/>
      <c r="AA37" s="145"/>
      <c r="AB37" s="53"/>
      <c r="AC37" s="53"/>
      <c r="AH37"/>
      <c r="AI37"/>
      <c r="AJ37"/>
      <c r="AK37"/>
      <c r="AL37"/>
      <c r="AM37"/>
      <c r="AN37"/>
      <c r="AO37"/>
      <c r="AP37"/>
    </row>
    <row r="38" spans="1:42">
      <c r="A38" s="16" t="s">
        <v>97</v>
      </c>
      <c r="B38" s="16" t="s">
        <v>87</v>
      </c>
      <c r="C38" s="16" t="s">
        <v>134</v>
      </c>
      <c r="D38" s="16" t="s">
        <v>91</v>
      </c>
      <c r="E38" s="16" t="s">
        <v>104</v>
      </c>
      <c r="F38" s="16" t="s">
        <v>97</v>
      </c>
      <c r="H38" s="16" t="s">
        <v>116</v>
      </c>
      <c r="I38" s="16">
        <v>200000</v>
      </c>
      <c r="M38" s="16">
        <v>200000</v>
      </c>
      <c r="U38" s="146"/>
      <c r="V38" s="146"/>
      <c r="W38" s="146"/>
      <c r="X38" s="146"/>
      <c r="Y38" s="146"/>
      <c r="Z38" s="145"/>
      <c r="AA38" s="145"/>
      <c r="AB38" s="53"/>
      <c r="AC38" s="53"/>
      <c r="AH38"/>
      <c r="AI38"/>
      <c r="AJ38"/>
      <c r="AK38"/>
      <c r="AL38"/>
      <c r="AM38"/>
      <c r="AN38"/>
      <c r="AO38"/>
      <c r="AP38"/>
    </row>
    <row r="39" spans="1:42">
      <c r="A39" s="16" t="s">
        <v>97</v>
      </c>
      <c r="B39" s="16" t="s">
        <v>99</v>
      </c>
      <c r="C39" s="16" t="s">
        <v>147</v>
      </c>
      <c r="D39" s="16" t="s">
        <v>104</v>
      </c>
      <c r="E39" s="16" t="s">
        <v>91</v>
      </c>
      <c r="F39" s="16" t="s">
        <v>97</v>
      </c>
      <c r="G39" s="16" t="s">
        <v>148</v>
      </c>
      <c r="H39" s="16" t="s">
        <v>149</v>
      </c>
      <c r="I39" s="16">
        <v>-41391</v>
      </c>
      <c r="M39" s="16">
        <v>-41391</v>
      </c>
      <c r="U39" s="146"/>
      <c r="V39" s="146"/>
      <c r="W39" s="146"/>
      <c r="X39" s="146"/>
      <c r="Y39" s="146"/>
      <c r="Z39" s="145"/>
      <c r="AA39" s="145"/>
      <c r="AB39" s="53"/>
      <c r="AC39" s="53"/>
      <c r="AH39"/>
      <c r="AI39"/>
      <c r="AJ39"/>
      <c r="AK39"/>
      <c r="AL39"/>
      <c r="AM39"/>
      <c r="AN39"/>
      <c r="AO39"/>
      <c r="AP39"/>
    </row>
    <row r="40" spans="1:42">
      <c r="A40" s="16" t="s">
        <v>90</v>
      </c>
      <c r="B40" s="16" t="s">
        <v>86</v>
      </c>
      <c r="C40" s="16" t="s">
        <v>158</v>
      </c>
      <c r="D40" s="16" t="s">
        <v>104</v>
      </c>
      <c r="E40" s="16" t="s">
        <v>88</v>
      </c>
      <c r="F40" s="16" t="s">
        <v>159</v>
      </c>
      <c r="G40" s="16" t="s">
        <v>153</v>
      </c>
      <c r="H40" s="16" t="s">
        <v>156</v>
      </c>
      <c r="I40" s="16">
        <v>-1917747.77</v>
      </c>
      <c r="O40" s="99"/>
      <c r="R40" s="16">
        <v>-1917747.77</v>
      </c>
      <c r="U40" s="146"/>
      <c r="V40" s="146"/>
      <c r="W40" s="146"/>
      <c r="X40" s="146"/>
      <c r="Y40" s="146"/>
      <c r="Z40" s="145"/>
      <c r="AA40" s="145"/>
      <c r="AB40" s="53"/>
      <c r="AC40" s="53"/>
      <c r="AH40"/>
      <c r="AI40"/>
      <c r="AJ40"/>
      <c r="AK40"/>
      <c r="AL40"/>
      <c r="AM40"/>
      <c r="AN40"/>
      <c r="AO40"/>
      <c r="AP40"/>
    </row>
    <row r="41" spans="1:42">
      <c r="A41" s="16" t="s">
        <v>90</v>
      </c>
      <c r="B41" s="16" t="s">
        <v>86</v>
      </c>
      <c r="C41" s="16" t="s">
        <v>174</v>
      </c>
      <c r="D41" s="16" t="s">
        <v>104</v>
      </c>
      <c r="E41" s="16" t="s">
        <v>88</v>
      </c>
      <c r="F41" s="16" t="s">
        <v>159</v>
      </c>
      <c r="G41" s="16" t="s">
        <v>153</v>
      </c>
      <c r="H41" s="16" t="s">
        <v>156</v>
      </c>
      <c r="I41" s="16">
        <v>-100128</v>
      </c>
      <c r="O41" s="99"/>
      <c r="R41" s="16">
        <v>-100128</v>
      </c>
      <c r="U41" s="146"/>
      <c r="V41" s="146"/>
      <c r="W41" s="146"/>
      <c r="X41" s="146"/>
      <c r="Y41" s="146"/>
      <c r="Z41" s="145"/>
      <c r="AA41" s="145"/>
      <c r="AB41" s="53"/>
      <c r="AC41" s="53"/>
      <c r="AH41"/>
      <c r="AI41"/>
      <c r="AJ41"/>
      <c r="AK41"/>
      <c r="AL41"/>
      <c r="AM41"/>
      <c r="AN41"/>
      <c r="AO41"/>
      <c r="AP41"/>
    </row>
    <row r="42" spans="1:42">
      <c r="A42" s="16" t="s">
        <v>90</v>
      </c>
      <c r="B42" s="16" t="s">
        <v>86</v>
      </c>
      <c r="C42" s="16" t="s">
        <v>160</v>
      </c>
      <c r="D42" s="16" t="s">
        <v>104</v>
      </c>
      <c r="E42" s="16" t="s">
        <v>161</v>
      </c>
      <c r="F42" s="16" t="s">
        <v>159</v>
      </c>
      <c r="G42" s="16" t="s">
        <v>162</v>
      </c>
      <c r="H42" s="16" t="s">
        <v>163</v>
      </c>
      <c r="I42" s="16">
        <v>-10000</v>
      </c>
      <c r="O42" s="99"/>
      <c r="R42" s="16">
        <v>-10000</v>
      </c>
      <c r="U42" s="146"/>
      <c r="V42" s="146"/>
      <c r="W42" s="146"/>
      <c r="X42" s="146"/>
      <c r="Y42" s="146"/>
      <c r="Z42" s="145"/>
      <c r="AA42" s="145"/>
      <c r="AB42" s="53"/>
      <c r="AC42" s="53"/>
      <c r="AH42"/>
      <c r="AI42"/>
      <c r="AJ42"/>
      <c r="AK42"/>
      <c r="AL42"/>
      <c r="AM42"/>
      <c r="AN42"/>
      <c r="AO42"/>
      <c r="AP42"/>
    </row>
    <row r="43" spans="1:42">
      <c r="A43" s="16" t="s">
        <v>90</v>
      </c>
      <c r="B43" s="16" t="s">
        <v>86</v>
      </c>
      <c r="C43" s="16" t="s">
        <v>164</v>
      </c>
      <c r="D43" s="16" t="s">
        <v>104</v>
      </c>
      <c r="E43" s="16" t="s">
        <v>91</v>
      </c>
      <c r="F43" s="16" t="s">
        <v>175</v>
      </c>
      <c r="G43" s="16" t="s">
        <v>166</v>
      </c>
      <c r="H43" s="16" t="s">
        <v>167</v>
      </c>
      <c r="I43" s="16">
        <v>-425000</v>
      </c>
      <c r="O43" s="99"/>
      <c r="R43" s="16">
        <v>-425000</v>
      </c>
      <c r="U43" s="146"/>
      <c r="V43" s="146"/>
      <c r="W43" s="146"/>
      <c r="X43" s="146"/>
      <c r="Y43" s="146"/>
      <c r="Z43" s="145"/>
      <c r="AA43" s="145"/>
      <c r="AB43" s="53"/>
      <c r="AC43" s="53"/>
      <c r="AH43"/>
      <c r="AI43"/>
      <c r="AJ43"/>
      <c r="AK43"/>
      <c r="AL43"/>
      <c r="AM43"/>
      <c r="AN43"/>
      <c r="AO43"/>
      <c r="AP43"/>
    </row>
    <row r="44" spans="1:42">
      <c r="A44" s="16" t="s">
        <v>90</v>
      </c>
      <c r="B44" s="16" t="s">
        <v>86</v>
      </c>
      <c r="C44" s="16" t="s">
        <v>168</v>
      </c>
      <c r="D44" s="16" t="s">
        <v>104</v>
      </c>
      <c r="E44" s="16" t="s">
        <v>91</v>
      </c>
      <c r="F44" s="16" t="s">
        <v>159</v>
      </c>
      <c r="G44" s="16" t="s">
        <v>166</v>
      </c>
      <c r="H44" s="16" t="s">
        <v>167</v>
      </c>
      <c r="I44" s="16">
        <v>-200000</v>
      </c>
      <c r="O44" s="99"/>
      <c r="R44" s="16">
        <v>-200000</v>
      </c>
      <c r="U44" s="146"/>
      <c r="V44" s="146"/>
      <c r="W44" s="146"/>
      <c r="X44" s="146"/>
      <c r="Y44" s="146"/>
      <c r="Z44" s="145"/>
      <c r="AA44" s="145"/>
      <c r="AB44" s="53"/>
      <c r="AC44" s="53"/>
      <c r="AH44"/>
      <c r="AI44"/>
      <c r="AJ44"/>
      <c r="AK44"/>
      <c r="AL44"/>
      <c r="AM44"/>
      <c r="AN44"/>
      <c r="AO44"/>
      <c r="AP44"/>
    </row>
    <row r="45" spans="1:42">
      <c r="A45" s="16" t="s">
        <v>90</v>
      </c>
      <c r="B45" s="16" t="s">
        <v>87</v>
      </c>
      <c r="C45" s="16" t="s">
        <v>150</v>
      </c>
      <c r="D45" s="16" t="s">
        <v>88</v>
      </c>
      <c r="E45" s="16" t="s">
        <v>104</v>
      </c>
      <c r="F45" s="16" t="s">
        <v>90</v>
      </c>
      <c r="G45" s="16" t="s">
        <v>151</v>
      </c>
      <c r="H45" s="16" t="s">
        <v>152</v>
      </c>
      <c r="I45" s="16">
        <v>163104.76999999999</v>
      </c>
      <c r="O45" s="99"/>
      <c r="R45" s="16">
        <v>163104.76999999999</v>
      </c>
      <c r="U45" s="146"/>
      <c r="V45" s="146"/>
      <c r="W45" s="146"/>
      <c r="X45" s="146"/>
      <c r="Y45" s="146"/>
      <c r="Z45" s="145"/>
      <c r="AA45" s="145"/>
      <c r="AB45" s="53"/>
      <c r="AC45" s="53"/>
      <c r="AH45"/>
      <c r="AI45"/>
      <c r="AJ45"/>
      <c r="AK45"/>
      <c r="AL45"/>
      <c r="AM45"/>
      <c r="AN45"/>
      <c r="AO45"/>
      <c r="AP45"/>
    </row>
    <row r="46" spans="1:42">
      <c r="A46" s="16" t="s">
        <v>90</v>
      </c>
      <c r="B46" s="16" t="s">
        <v>87</v>
      </c>
      <c r="C46" s="16" t="s">
        <v>155</v>
      </c>
      <c r="D46" s="16" t="s">
        <v>88</v>
      </c>
      <c r="E46" s="16" t="s">
        <v>104</v>
      </c>
      <c r="F46" s="16" t="s">
        <v>90</v>
      </c>
      <c r="G46" s="16" t="s">
        <v>154</v>
      </c>
      <c r="H46" s="16" t="s">
        <v>156</v>
      </c>
      <c r="I46" s="16">
        <v>264042</v>
      </c>
      <c r="O46" s="99"/>
      <c r="R46" s="16">
        <v>264042</v>
      </c>
      <c r="U46" s="146"/>
      <c r="V46" s="146"/>
      <c r="W46" s="146"/>
      <c r="X46" s="146"/>
      <c r="Y46" s="146"/>
      <c r="Z46" s="145"/>
      <c r="AA46" s="145"/>
      <c r="AB46" s="53"/>
      <c r="AC46" s="53"/>
      <c r="AH46"/>
      <c r="AI46"/>
      <c r="AJ46"/>
      <c r="AK46"/>
      <c r="AL46"/>
      <c r="AM46"/>
      <c r="AN46"/>
      <c r="AO46"/>
      <c r="AP46"/>
    </row>
    <row r="47" spans="1:42">
      <c r="A47" s="16" t="s">
        <v>90</v>
      </c>
      <c r="B47" s="16" t="s">
        <v>87</v>
      </c>
      <c r="C47" s="16" t="s">
        <v>130</v>
      </c>
      <c r="D47" s="16" t="s">
        <v>122</v>
      </c>
      <c r="E47" s="16" t="s">
        <v>104</v>
      </c>
      <c r="F47" s="16" t="s">
        <v>90</v>
      </c>
      <c r="H47" s="16" t="s">
        <v>131</v>
      </c>
      <c r="I47" s="16">
        <v>1212842</v>
      </c>
      <c r="O47" s="99"/>
      <c r="R47" s="16">
        <v>1212842</v>
      </c>
      <c r="U47" s="146"/>
      <c r="V47" s="146"/>
      <c r="W47" s="146"/>
      <c r="X47" s="146"/>
      <c r="Y47" s="146"/>
      <c r="Z47" s="145"/>
      <c r="AA47" s="145"/>
      <c r="AB47" s="53"/>
      <c r="AC47" s="53"/>
      <c r="AH47"/>
      <c r="AI47"/>
      <c r="AJ47"/>
      <c r="AK47"/>
      <c r="AL47"/>
      <c r="AM47"/>
      <c r="AN47"/>
      <c r="AO47"/>
      <c r="AP47"/>
    </row>
    <row r="48" spans="1:42">
      <c r="A48" s="16" t="s">
        <v>90</v>
      </c>
      <c r="B48" s="16" t="s">
        <v>87</v>
      </c>
      <c r="C48" s="16" t="s">
        <v>132</v>
      </c>
      <c r="D48" s="16" t="s">
        <v>122</v>
      </c>
      <c r="E48" s="16" t="s">
        <v>104</v>
      </c>
      <c r="F48" s="16" t="s">
        <v>90</v>
      </c>
      <c r="H48" s="16" t="s">
        <v>133</v>
      </c>
      <c r="I48" s="16">
        <v>560000</v>
      </c>
      <c r="O48" s="99"/>
      <c r="R48" s="16">
        <v>560000</v>
      </c>
      <c r="U48" s="146"/>
      <c r="V48" s="146"/>
      <c r="W48" s="146"/>
      <c r="X48" s="146"/>
      <c r="Y48" s="146"/>
      <c r="Z48" s="145"/>
      <c r="AA48" s="145"/>
      <c r="AB48" s="53"/>
      <c r="AC48" s="53"/>
      <c r="AH48"/>
      <c r="AI48"/>
      <c r="AJ48"/>
      <c r="AK48"/>
      <c r="AL48"/>
      <c r="AM48"/>
      <c r="AN48"/>
      <c r="AO48"/>
      <c r="AP48"/>
    </row>
    <row r="49" spans="1:42">
      <c r="A49" s="16" t="s">
        <v>90</v>
      </c>
      <c r="B49" s="16" t="s">
        <v>87</v>
      </c>
      <c r="C49" s="16" t="s">
        <v>146</v>
      </c>
      <c r="D49" s="16" t="s">
        <v>122</v>
      </c>
      <c r="E49" s="16" t="s">
        <v>104</v>
      </c>
      <c r="F49" s="16" t="s">
        <v>90</v>
      </c>
      <c r="H49" s="16" t="s">
        <v>131</v>
      </c>
      <c r="I49" s="16">
        <v>486888</v>
      </c>
      <c r="O49" s="99"/>
      <c r="R49" s="16">
        <v>486888</v>
      </c>
      <c r="U49" s="146"/>
      <c r="V49" s="146"/>
      <c r="W49" s="146"/>
      <c r="X49" s="146"/>
      <c r="Y49" s="146"/>
      <c r="Z49" s="145"/>
      <c r="AA49" s="145"/>
      <c r="AB49" s="53"/>
      <c r="AC49" s="53"/>
      <c r="AH49"/>
      <c r="AI49"/>
      <c r="AJ49"/>
      <c r="AK49"/>
      <c r="AL49"/>
      <c r="AM49"/>
      <c r="AN49"/>
      <c r="AO49"/>
      <c r="AP49"/>
    </row>
    <row r="50" spans="1:42">
      <c r="A50" s="16" t="s">
        <v>90</v>
      </c>
      <c r="B50" s="16" t="s">
        <v>109</v>
      </c>
      <c r="C50" s="16" t="s">
        <v>169</v>
      </c>
      <c r="D50" s="16" t="s">
        <v>88</v>
      </c>
      <c r="E50" s="16" t="s">
        <v>104</v>
      </c>
      <c r="F50" s="16" t="s">
        <v>90</v>
      </c>
      <c r="G50" s="16" t="s">
        <v>154</v>
      </c>
      <c r="H50" s="16" t="s">
        <v>170</v>
      </c>
      <c r="I50" s="16">
        <v>264042</v>
      </c>
      <c r="L50" s="16">
        <v>264042</v>
      </c>
      <c r="O50" s="99"/>
      <c r="U50" s="146"/>
      <c r="V50" s="146"/>
      <c r="W50" s="146"/>
      <c r="X50" s="146"/>
      <c r="Y50" s="146"/>
      <c r="Z50" s="145"/>
      <c r="AA50" s="145"/>
      <c r="AB50" s="53"/>
      <c r="AC50" s="53"/>
      <c r="AH50"/>
      <c r="AI50"/>
      <c r="AJ50"/>
      <c r="AK50"/>
      <c r="AL50"/>
      <c r="AM50"/>
      <c r="AN50"/>
      <c r="AO50"/>
      <c r="AP50"/>
    </row>
    <row r="51" spans="1:42">
      <c r="A51" s="16" t="s">
        <v>90</v>
      </c>
      <c r="B51" s="16" t="s">
        <v>109</v>
      </c>
      <c r="C51" s="16" t="s">
        <v>171</v>
      </c>
      <c r="D51" s="16" t="s">
        <v>88</v>
      </c>
      <c r="E51" s="16" t="s">
        <v>104</v>
      </c>
      <c r="F51" s="16" t="s">
        <v>90</v>
      </c>
      <c r="G51" s="16" t="s">
        <v>154</v>
      </c>
      <c r="H51" s="16" t="s">
        <v>170</v>
      </c>
      <c r="I51" s="16">
        <v>104102</v>
      </c>
      <c r="L51" s="16">
        <v>104102</v>
      </c>
      <c r="O51" s="99"/>
      <c r="U51" s="146"/>
      <c r="V51" s="146"/>
      <c r="W51" s="146"/>
      <c r="X51" s="146"/>
      <c r="Y51" s="146"/>
      <c r="Z51" s="145"/>
      <c r="AA51" s="145"/>
      <c r="AB51" s="53"/>
      <c r="AC51" s="53"/>
      <c r="AH51"/>
      <c r="AI51"/>
      <c r="AJ51"/>
      <c r="AK51"/>
      <c r="AL51"/>
      <c r="AM51"/>
      <c r="AN51"/>
      <c r="AO51"/>
      <c r="AP51"/>
    </row>
    <row r="52" spans="1:42">
      <c r="A52" s="16" t="s">
        <v>90</v>
      </c>
      <c r="B52" s="16" t="s">
        <v>99</v>
      </c>
      <c r="C52" s="16" t="s">
        <v>169</v>
      </c>
      <c r="D52" s="16" t="s">
        <v>104</v>
      </c>
      <c r="E52" s="16" t="s">
        <v>88</v>
      </c>
      <c r="F52" s="16" t="s">
        <v>90</v>
      </c>
      <c r="G52" s="16" t="s">
        <v>154</v>
      </c>
      <c r="H52" s="16" t="s">
        <v>172</v>
      </c>
      <c r="I52" s="16">
        <v>-293380</v>
      </c>
      <c r="O52" s="99"/>
      <c r="R52" s="16">
        <v>-293380</v>
      </c>
      <c r="U52" s="146"/>
      <c r="V52" s="146"/>
      <c r="W52" s="146"/>
      <c r="X52" s="146"/>
      <c r="Y52" s="146"/>
      <c r="Z52" s="145"/>
      <c r="AA52" s="145"/>
      <c r="AB52" s="53"/>
      <c r="AC52" s="53"/>
      <c r="AH52"/>
      <c r="AI52"/>
      <c r="AJ52"/>
      <c r="AK52"/>
      <c r="AL52"/>
      <c r="AM52"/>
      <c r="AN52"/>
      <c r="AO52"/>
      <c r="AP52"/>
    </row>
    <row r="53" spans="1:42">
      <c r="A53" s="16" t="s">
        <v>90</v>
      </c>
      <c r="B53" s="16" t="s">
        <v>99</v>
      </c>
      <c r="C53" s="16" t="s">
        <v>171</v>
      </c>
      <c r="D53" s="16" t="s">
        <v>104</v>
      </c>
      <c r="E53" s="16" t="s">
        <v>88</v>
      </c>
      <c r="F53" s="16" t="s">
        <v>90</v>
      </c>
      <c r="G53" s="16" t="s">
        <v>154</v>
      </c>
      <c r="H53" s="16" t="s">
        <v>172</v>
      </c>
      <c r="I53" s="16">
        <v>-115669</v>
      </c>
      <c r="O53" s="99"/>
      <c r="R53" s="16">
        <v>-115669</v>
      </c>
      <c r="U53" s="146"/>
      <c r="V53" s="146"/>
      <c r="W53" s="146"/>
      <c r="X53" s="146"/>
      <c r="Y53" s="146"/>
      <c r="Z53" s="145"/>
      <c r="AA53" s="145"/>
      <c r="AB53" s="53"/>
      <c r="AC53" s="53"/>
      <c r="AH53"/>
      <c r="AI53"/>
      <c r="AJ53"/>
      <c r="AK53"/>
      <c r="AL53"/>
      <c r="AM53"/>
      <c r="AN53"/>
      <c r="AO53"/>
      <c r="AP53"/>
    </row>
    <row r="54" spans="1:42">
      <c r="A54" s="16" t="s">
        <v>159</v>
      </c>
      <c r="B54" s="16" t="s">
        <v>86</v>
      </c>
      <c r="C54" s="16" t="s">
        <v>176</v>
      </c>
      <c r="D54" s="16" t="s">
        <v>104</v>
      </c>
      <c r="E54" s="16" t="s">
        <v>88</v>
      </c>
      <c r="F54" s="16" t="s">
        <v>165</v>
      </c>
      <c r="G54" s="16" t="s">
        <v>153</v>
      </c>
      <c r="H54" s="16" t="s">
        <v>156</v>
      </c>
      <c r="I54" s="16">
        <v>-2297268.77</v>
      </c>
      <c r="O54" s="99"/>
      <c r="R54" s="16">
        <v>-2297268.77</v>
      </c>
      <c r="U54" s="146"/>
      <c r="V54" s="146"/>
      <c r="W54" s="146"/>
      <c r="X54" s="146"/>
      <c r="Y54" s="146"/>
      <c r="Z54" s="145"/>
      <c r="AA54" s="145"/>
      <c r="AB54" s="53"/>
      <c r="AC54" s="53"/>
      <c r="AH54"/>
      <c r="AI54"/>
      <c r="AJ54"/>
      <c r="AK54"/>
      <c r="AL54"/>
      <c r="AM54"/>
      <c r="AN54"/>
      <c r="AO54"/>
      <c r="AP54"/>
    </row>
    <row r="55" spans="1:42">
      <c r="A55" s="16" t="s">
        <v>159</v>
      </c>
      <c r="B55" s="16" t="s">
        <v>87</v>
      </c>
      <c r="C55" s="16" t="s">
        <v>145</v>
      </c>
      <c r="D55" s="16" t="s">
        <v>88</v>
      </c>
      <c r="E55" s="16" t="s">
        <v>104</v>
      </c>
      <c r="F55" s="16" t="s">
        <v>159</v>
      </c>
      <c r="G55" s="16" t="s">
        <v>143</v>
      </c>
      <c r="H55" s="16" t="s">
        <v>144</v>
      </c>
      <c r="I55" s="16">
        <v>841253</v>
      </c>
      <c r="M55" s="16">
        <v>841253</v>
      </c>
      <c r="O55" s="99"/>
      <c r="U55" s="146"/>
      <c r="V55" s="146"/>
      <c r="W55" s="146"/>
      <c r="X55" s="146"/>
      <c r="Y55" s="146"/>
      <c r="Z55" s="145"/>
      <c r="AA55" s="145"/>
      <c r="AB55" s="53"/>
      <c r="AC55" s="53"/>
      <c r="AH55"/>
      <c r="AI55"/>
      <c r="AJ55"/>
      <c r="AK55"/>
      <c r="AL55"/>
      <c r="AM55"/>
      <c r="AN55"/>
      <c r="AO55"/>
      <c r="AP55"/>
    </row>
    <row r="56" spans="1:42">
      <c r="A56" s="16" t="s">
        <v>159</v>
      </c>
      <c r="B56" s="16" t="s">
        <v>87</v>
      </c>
      <c r="C56" s="16" t="s">
        <v>158</v>
      </c>
      <c r="D56" s="16" t="s">
        <v>88</v>
      </c>
      <c r="E56" s="16" t="s">
        <v>104</v>
      </c>
      <c r="F56" s="16" t="s">
        <v>159</v>
      </c>
      <c r="G56" s="16" t="s">
        <v>153</v>
      </c>
      <c r="H56" s="16" t="s">
        <v>156</v>
      </c>
      <c r="I56" s="16">
        <v>1917747.77</v>
      </c>
      <c r="O56" s="99"/>
      <c r="R56" s="16">
        <v>1917747.77</v>
      </c>
      <c r="U56" s="146"/>
      <c r="V56" s="146"/>
      <c r="W56" s="146"/>
      <c r="X56" s="146"/>
      <c r="Y56" s="146"/>
      <c r="Z56" s="145"/>
      <c r="AA56" s="145"/>
      <c r="AB56" s="53"/>
      <c r="AC56" s="53"/>
      <c r="AH56"/>
      <c r="AI56"/>
      <c r="AJ56"/>
      <c r="AK56"/>
      <c r="AL56"/>
      <c r="AM56"/>
      <c r="AN56"/>
      <c r="AO56"/>
      <c r="AP56"/>
    </row>
    <row r="57" spans="1:42">
      <c r="A57" s="16" t="s">
        <v>159</v>
      </c>
      <c r="B57" s="16" t="s">
        <v>87</v>
      </c>
      <c r="C57" s="16" t="s">
        <v>174</v>
      </c>
      <c r="D57" s="16" t="s">
        <v>88</v>
      </c>
      <c r="E57" s="16" t="s">
        <v>104</v>
      </c>
      <c r="F57" s="16" t="s">
        <v>159</v>
      </c>
      <c r="G57" s="16" t="s">
        <v>153</v>
      </c>
      <c r="H57" s="16" t="s">
        <v>156</v>
      </c>
      <c r="I57" s="16">
        <v>100128</v>
      </c>
      <c r="R57" s="16">
        <v>100128</v>
      </c>
      <c r="U57" s="146"/>
      <c r="V57" s="146"/>
      <c r="W57" s="146"/>
      <c r="X57" s="146"/>
      <c r="Y57" s="146"/>
      <c r="Z57" s="145"/>
      <c r="AA57" s="145"/>
      <c r="AB57" s="53"/>
      <c r="AC57" s="53"/>
      <c r="AH57"/>
      <c r="AI57"/>
      <c r="AJ57"/>
      <c r="AK57"/>
      <c r="AL57"/>
      <c r="AM57"/>
      <c r="AN57"/>
      <c r="AO57"/>
      <c r="AP57"/>
    </row>
    <row r="58" spans="1:42">
      <c r="A58" s="16" t="s">
        <v>159</v>
      </c>
      <c r="B58" s="16" t="s">
        <v>87</v>
      </c>
      <c r="C58" s="16" t="s">
        <v>160</v>
      </c>
      <c r="D58" s="16" t="s">
        <v>161</v>
      </c>
      <c r="E58" s="16" t="s">
        <v>104</v>
      </c>
      <c r="F58" s="16" t="s">
        <v>159</v>
      </c>
      <c r="G58" s="16" t="s">
        <v>162</v>
      </c>
      <c r="H58" s="16" t="s">
        <v>163</v>
      </c>
      <c r="I58" s="16">
        <v>10000</v>
      </c>
      <c r="R58" s="16">
        <v>10000</v>
      </c>
      <c r="U58" s="146"/>
      <c r="V58" s="146"/>
      <c r="W58" s="146"/>
      <c r="X58" s="146"/>
      <c r="Y58" s="146"/>
      <c r="Z58" s="145"/>
      <c r="AA58" s="145"/>
      <c r="AB58" s="53"/>
      <c r="AC58" s="53"/>
      <c r="AH58"/>
      <c r="AI58"/>
      <c r="AJ58"/>
      <c r="AK58"/>
      <c r="AL58"/>
      <c r="AM58"/>
      <c r="AN58"/>
      <c r="AO58"/>
      <c r="AP58"/>
    </row>
    <row r="59" spans="1:42">
      <c r="A59" s="16" t="s">
        <v>159</v>
      </c>
      <c r="B59" s="16" t="s">
        <v>87</v>
      </c>
      <c r="C59" s="16" t="s">
        <v>164</v>
      </c>
      <c r="D59" s="16" t="s">
        <v>91</v>
      </c>
      <c r="E59" s="16" t="s">
        <v>104</v>
      </c>
      <c r="F59" s="16" t="s">
        <v>175</v>
      </c>
      <c r="G59" s="16" t="s">
        <v>166</v>
      </c>
      <c r="H59" s="16" t="s">
        <v>167</v>
      </c>
      <c r="I59" s="16">
        <v>29383</v>
      </c>
      <c r="Q59" s="16">
        <v>29383</v>
      </c>
      <c r="U59" s="146"/>
      <c r="V59" s="146"/>
      <c r="W59" s="146"/>
      <c r="X59" s="146"/>
      <c r="Y59" s="146"/>
      <c r="Z59" s="145"/>
      <c r="AA59" s="145"/>
      <c r="AB59" s="53"/>
      <c r="AC59" s="53"/>
      <c r="AH59"/>
      <c r="AI59"/>
      <c r="AJ59"/>
      <c r="AK59"/>
      <c r="AL59"/>
      <c r="AM59"/>
      <c r="AN59"/>
      <c r="AO59"/>
      <c r="AP59"/>
    </row>
    <row r="60" spans="1:42">
      <c r="A60" s="16" t="s">
        <v>159</v>
      </c>
      <c r="B60" s="16" t="s">
        <v>87</v>
      </c>
      <c r="C60" s="16" t="s">
        <v>168</v>
      </c>
      <c r="D60" s="16" t="s">
        <v>91</v>
      </c>
      <c r="E60" s="16" t="s">
        <v>104</v>
      </c>
      <c r="F60" s="16" t="s">
        <v>159</v>
      </c>
      <c r="G60" s="16" t="s">
        <v>166</v>
      </c>
      <c r="H60" s="16" t="s">
        <v>167</v>
      </c>
      <c r="I60" s="16">
        <v>200000</v>
      </c>
      <c r="R60" s="16">
        <v>200000</v>
      </c>
      <c r="U60" s="146"/>
      <c r="V60" s="146"/>
      <c r="W60" s="146"/>
      <c r="X60" s="146"/>
      <c r="Y60" s="146"/>
      <c r="Z60" s="145"/>
      <c r="AA60" s="145"/>
      <c r="AB60" s="53"/>
      <c r="AC60" s="53"/>
      <c r="AH60"/>
      <c r="AI60"/>
      <c r="AJ60"/>
      <c r="AK60"/>
      <c r="AL60"/>
      <c r="AM60"/>
      <c r="AN60"/>
      <c r="AO60"/>
      <c r="AP60"/>
    </row>
    <row r="61" spans="1:42">
      <c r="A61" s="16" t="s">
        <v>159</v>
      </c>
      <c r="B61" s="16" t="s">
        <v>109</v>
      </c>
      <c r="C61" s="16" t="s">
        <v>173</v>
      </c>
      <c r="D61" s="16" t="s">
        <v>88</v>
      </c>
      <c r="E61" s="16" t="s">
        <v>104</v>
      </c>
      <c r="F61" s="16" t="s">
        <v>159</v>
      </c>
      <c r="G61" s="16" t="s">
        <v>157</v>
      </c>
      <c r="H61" s="16" t="s">
        <v>170</v>
      </c>
      <c r="I61" s="16">
        <v>90000</v>
      </c>
      <c r="L61" s="16">
        <v>90000</v>
      </c>
      <c r="U61" s="146"/>
      <c r="V61" s="146"/>
      <c r="W61" s="146"/>
      <c r="X61" s="146"/>
      <c r="Y61" s="146"/>
      <c r="Z61" s="145"/>
      <c r="AA61" s="145"/>
      <c r="AB61" s="53"/>
      <c r="AC61" s="53"/>
      <c r="AH61"/>
      <c r="AI61"/>
      <c r="AJ61"/>
      <c r="AK61"/>
      <c r="AL61"/>
      <c r="AM61"/>
      <c r="AN61"/>
      <c r="AO61"/>
      <c r="AP61"/>
    </row>
    <row r="62" spans="1:42">
      <c r="A62" s="16" t="s">
        <v>159</v>
      </c>
      <c r="B62" s="16" t="s">
        <v>109</v>
      </c>
      <c r="C62" s="16" t="s">
        <v>177</v>
      </c>
      <c r="D62" s="16" t="s">
        <v>88</v>
      </c>
      <c r="E62" s="16" t="s">
        <v>104</v>
      </c>
      <c r="F62" s="16" t="s">
        <v>159</v>
      </c>
      <c r="G62" s="16" t="s">
        <v>178</v>
      </c>
      <c r="H62" s="16" t="s">
        <v>170</v>
      </c>
      <c r="I62" s="16">
        <v>45000</v>
      </c>
      <c r="L62" s="16">
        <v>45000</v>
      </c>
      <c r="U62" s="146"/>
      <c r="V62" s="146"/>
      <c r="W62" s="146"/>
      <c r="X62" s="146"/>
      <c r="Y62" s="146"/>
      <c r="Z62" s="145"/>
      <c r="AA62" s="145"/>
      <c r="AB62" s="53"/>
      <c r="AC62" s="53"/>
      <c r="AH62"/>
      <c r="AI62"/>
      <c r="AJ62"/>
      <c r="AK62"/>
      <c r="AL62"/>
      <c r="AM62"/>
      <c r="AN62"/>
      <c r="AO62"/>
      <c r="AP62"/>
    </row>
    <row r="63" spans="1:42">
      <c r="A63" s="16" t="s">
        <v>159</v>
      </c>
      <c r="B63" s="16" t="s">
        <v>109</v>
      </c>
      <c r="C63" s="16" t="s">
        <v>179</v>
      </c>
      <c r="D63" s="16" t="s">
        <v>88</v>
      </c>
      <c r="E63" s="16" t="s">
        <v>104</v>
      </c>
      <c r="F63" s="16" t="s">
        <v>159</v>
      </c>
      <c r="G63" s="16" t="s">
        <v>154</v>
      </c>
      <c r="H63" s="16" t="s">
        <v>170</v>
      </c>
      <c r="I63" s="16">
        <v>50000</v>
      </c>
      <c r="L63" s="16">
        <v>50000</v>
      </c>
      <c r="U63" s="146"/>
      <c r="V63" s="146"/>
      <c r="W63" s="146"/>
      <c r="X63" s="146"/>
      <c r="Y63" s="146"/>
      <c r="Z63" s="145"/>
      <c r="AA63" s="145"/>
      <c r="AB63" s="53"/>
      <c r="AC63" s="53"/>
      <c r="AH63"/>
      <c r="AI63"/>
      <c r="AJ63"/>
      <c r="AK63"/>
      <c r="AL63"/>
      <c r="AM63"/>
      <c r="AN63"/>
      <c r="AO63"/>
      <c r="AP63"/>
    </row>
    <row r="64" spans="1:42">
      <c r="A64" s="16" t="s">
        <v>159</v>
      </c>
      <c r="B64" s="16" t="s">
        <v>99</v>
      </c>
      <c r="C64" s="16" t="s">
        <v>173</v>
      </c>
      <c r="D64" s="16" t="s">
        <v>104</v>
      </c>
      <c r="E64" s="16" t="s">
        <v>88</v>
      </c>
      <c r="F64" s="16" t="s">
        <v>159</v>
      </c>
      <c r="G64" s="16" t="s">
        <v>157</v>
      </c>
      <c r="H64" s="16" t="s">
        <v>172</v>
      </c>
      <c r="I64" s="16">
        <v>-100000</v>
      </c>
      <c r="R64" s="16">
        <v>-100000</v>
      </c>
      <c r="U64" s="146"/>
      <c r="V64" s="146"/>
      <c r="W64" s="146"/>
      <c r="X64" s="146"/>
      <c r="Y64" s="146"/>
      <c r="Z64" s="145"/>
      <c r="AA64" s="145"/>
      <c r="AB64" s="53"/>
      <c r="AC64" s="53"/>
      <c r="AH64"/>
      <c r="AI64"/>
      <c r="AJ64"/>
      <c r="AK64"/>
      <c r="AL64"/>
      <c r="AM64"/>
      <c r="AN64"/>
      <c r="AO64"/>
      <c r="AP64"/>
    </row>
    <row r="65" spans="1:42">
      <c r="A65" s="16" t="s">
        <v>159</v>
      </c>
      <c r="B65" s="16" t="s">
        <v>99</v>
      </c>
      <c r="C65" s="16" t="s">
        <v>177</v>
      </c>
      <c r="D65" s="16" t="s">
        <v>104</v>
      </c>
      <c r="E65" s="16" t="s">
        <v>88</v>
      </c>
      <c r="F65" s="16" t="s">
        <v>159</v>
      </c>
      <c r="G65" s="16" t="s">
        <v>178</v>
      </c>
      <c r="H65" s="16" t="s">
        <v>170</v>
      </c>
      <c r="I65" s="16">
        <v>-50000</v>
      </c>
      <c r="Q65" s="16">
        <v>-50000</v>
      </c>
      <c r="U65" s="146"/>
      <c r="V65" s="146"/>
      <c r="W65" s="146"/>
      <c r="X65" s="146"/>
      <c r="Y65" s="146"/>
      <c r="Z65" s="145"/>
      <c r="AA65" s="145"/>
      <c r="AB65" s="53"/>
      <c r="AC65" s="53"/>
      <c r="AH65"/>
      <c r="AI65"/>
      <c r="AJ65"/>
      <c r="AK65"/>
      <c r="AL65"/>
      <c r="AM65"/>
      <c r="AN65"/>
      <c r="AO65"/>
      <c r="AP65"/>
    </row>
    <row r="66" spans="1:42">
      <c r="A66" s="16" t="s">
        <v>159</v>
      </c>
      <c r="B66" s="16" t="s">
        <v>99</v>
      </c>
      <c r="C66" s="16" t="s">
        <v>179</v>
      </c>
      <c r="D66" s="16" t="s">
        <v>104</v>
      </c>
      <c r="E66" s="16" t="s">
        <v>88</v>
      </c>
      <c r="F66" s="16" t="s">
        <v>159</v>
      </c>
      <c r="G66" s="16" t="s">
        <v>154</v>
      </c>
      <c r="H66" s="16" t="s">
        <v>172</v>
      </c>
      <c r="I66" s="16">
        <v>-55556</v>
      </c>
      <c r="R66" s="16">
        <v>-55556</v>
      </c>
      <c r="U66" s="146"/>
      <c r="V66" s="146"/>
      <c r="W66" s="146"/>
      <c r="X66" s="146"/>
      <c r="Y66" s="146"/>
      <c r="Z66" s="145"/>
      <c r="AA66" s="145"/>
      <c r="AB66" s="53"/>
      <c r="AC66" s="53"/>
      <c r="AH66"/>
      <c r="AI66"/>
      <c r="AJ66"/>
      <c r="AK66"/>
      <c r="AL66"/>
      <c r="AM66"/>
      <c r="AN66"/>
      <c r="AO66"/>
      <c r="AP66"/>
    </row>
    <row r="67" spans="1:42">
      <c r="A67" s="16" t="s">
        <v>165</v>
      </c>
      <c r="B67" s="16" t="s">
        <v>87</v>
      </c>
      <c r="C67" s="16" t="s">
        <v>176</v>
      </c>
      <c r="D67" s="16" t="s">
        <v>88</v>
      </c>
      <c r="E67" s="16" t="s">
        <v>104</v>
      </c>
      <c r="F67" s="16" t="s">
        <v>165</v>
      </c>
      <c r="G67" s="16" t="s">
        <v>153</v>
      </c>
      <c r="H67" s="16" t="s">
        <v>156</v>
      </c>
      <c r="I67" s="16">
        <v>2297268.77</v>
      </c>
      <c r="R67" s="16">
        <v>2297268.77</v>
      </c>
      <c r="U67" s="146"/>
      <c r="V67" s="146"/>
      <c r="W67" s="146"/>
      <c r="X67" s="146"/>
      <c r="Y67" s="146"/>
      <c r="Z67" s="145"/>
      <c r="AA67" s="145"/>
      <c r="AB67" s="53"/>
      <c r="AC67" s="53"/>
      <c r="AH67"/>
      <c r="AI67"/>
      <c r="AJ67"/>
      <c r="AK67"/>
      <c r="AL67"/>
      <c r="AM67"/>
      <c r="AN67"/>
      <c r="AO67"/>
      <c r="AP67"/>
    </row>
    <row r="68" spans="1:42">
      <c r="A68" s="16" t="s">
        <v>165</v>
      </c>
      <c r="B68" s="16" t="s">
        <v>109</v>
      </c>
      <c r="C68" s="16" t="s">
        <v>180</v>
      </c>
      <c r="D68" s="16" t="s">
        <v>88</v>
      </c>
      <c r="E68" s="16" t="s">
        <v>104</v>
      </c>
      <c r="F68" s="16" t="s">
        <v>165</v>
      </c>
      <c r="G68" s="16" t="s">
        <v>153</v>
      </c>
      <c r="H68" s="16" t="s">
        <v>170</v>
      </c>
      <c r="I68" s="16">
        <v>2396422</v>
      </c>
      <c r="L68" s="16">
        <v>2396422</v>
      </c>
      <c r="U68" s="146"/>
      <c r="V68" s="146"/>
      <c r="W68" s="146"/>
      <c r="X68" s="146"/>
      <c r="Y68" s="146"/>
      <c r="Z68" s="145"/>
      <c r="AA68" s="145"/>
      <c r="AB68" s="53"/>
      <c r="AC68" s="53"/>
      <c r="AH68"/>
      <c r="AI68"/>
      <c r="AJ68"/>
      <c r="AK68"/>
      <c r="AL68"/>
      <c r="AM68"/>
      <c r="AN68"/>
      <c r="AO68"/>
      <c r="AP68"/>
    </row>
    <row r="69" spans="1:42">
      <c r="A69" s="16" t="s">
        <v>165</v>
      </c>
      <c r="B69" s="16" t="s">
        <v>99</v>
      </c>
      <c r="C69" s="16" t="s">
        <v>180</v>
      </c>
      <c r="D69" s="16" t="s">
        <v>104</v>
      </c>
      <c r="E69" s="16" t="s">
        <v>88</v>
      </c>
      <c r="F69" s="16" t="s">
        <v>165</v>
      </c>
      <c r="G69" s="16" t="s">
        <v>153</v>
      </c>
      <c r="H69" s="16" t="s">
        <v>172</v>
      </c>
      <c r="I69" s="16">
        <v>-2662691</v>
      </c>
      <c r="R69" s="16">
        <v>-2662691</v>
      </c>
      <c r="U69" s="146"/>
      <c r="V69" s="146"/>
      <c r="W69" s="146"/>
      <c r="X69" s="146"/>
      <c r="Y69" s="146"/>
      <c r="Z69" s="145"/>
      <c r="AA69" s="145"/>
      <c r="AB69" s="53"/>
      <c r="AC69" s="53"/>
      <c r="AH69"/>
      <c r="AI69"/>
      <c r="AJ69"/>
      <c r="AK69"/>
      <c r="AL69"/>
      <c r="AM69"/>
      <c r="AN69"/>
      <c r="AO69"/>
      <c r="AP69"/>
    </row>
    <row r="70" spans="1:42">
      <c r="A70" s="16" t="s">
        <v>212</v>
      </c>
      <c r="B70" s="16" t="s">
        <v>86</v>
      </c>
      <c r="C70" s="16" t="s">
        <v>213</v>
      </c>
      <c r="D70" s="16" t="s">
        <v>104</v>
      </c>
      <c r="E70" s="16" t="s">
        <v>88</v>
      </c>
      <c r="F70" s="16" t="s">
        <v>181</v>
      </c>
      <c r="G70" s="16" t="s">
        <v>217</v>
      </c>
      <c r="H70" s="16" t="s">
        <v>214</v>
      </c>
      <c r="I70" s="16">
        <v>-114755</v>
      </c>
      <c r="U70" s="146">
        <v>-114755</v>
      </c>
      <c r="V70" s="146"/>
      <c r="W70" s="146"/>
      <c r="X70" s="146"/>
      <c r="Y70" s="146"/>
      <c r="Z70" s="145"/>
      <c r="AA70" s="145"/>
      <c r="AB70" s="53"/>
      <c r="AC70" s="53"/>
      <c r="AH70"/>
      <c r="AI70"/>
      <c r="AJ70"/>
      <c r="AK70"/>
      <c r="AL70"/>
      <c r="AM70"/>
      <c r="AN70"/>
      <c r="AO70"/>
      <c r="AP70"/>
    </row>
    <row r="71" spans="1:42" ht="15.75" customHeight="1">
      <c r="A71" s="16" t="s">
        <v>212</v>
      </c>
      <c r="B71" s="16" t="s">
        <v>86</v>
      </c>
      <c r="C71" s="16" t="s">
        <v>213</v>
      </c>
      <c r="D71" s="16" t="s">
        <v>104</v>
      </c>
      <c r="E71" s="16" t="s">
        <v>88</v>
      </c>
      <c r="F71" s="16" t="s">
        <v>181</v>
      </c>
      <c r="G71" s="16" t="s">
        <v>215</v>
      </c>
      <c r="H71" s="16" t="s">
        <v>216</v>
      </c>
      <c r="I71" s="16">
        <v>-294113.99</v>
      </c>
      <c r="Q71" s="16">
        <v>-50000</v>
      </c>
      <c r="T71" s="16">
        <v>-244113.99</v>
      </c>
      <c r="AI71" s="53"/>
      <c r="AJ71" s="53"/>
      <c r="AK71" s="53"/>
      <c r="AL71" s="53"/>
    </row>
    <row r="72" spans="1:42">
      <c r="A72" s="16" t="s">
        <v>181</v>
      </c>
      <c r="B72" s="16" t="s">
        <v>86</v>
      </c>
      <c r="C72" s="16" t="s">
        <v>233</v>
      </c>
      <c r="D72" s="16" t="s">
        <v>104</v>
      </c>
      <c r="E72" s="16" t="s">
        <v>88</v>
      </c>
      <c r="F72" s="16" t="s">
        <v>227</v>
      </c>
      <c r="G72" s="16" t="s">
        <v>234</v>
      </c>
      <c r="H72" s="16" t="s">
        <v>235</v>
      </c>
      <c r="I72" s="16">
        <v>-244265</v>
      </c>
      <c r="U72" s="16">
        <v>-244265</v>
      </c>
    </row>
    <row r="73" spans="1:42" ht="15.75" customHeight="1">
      <c r="A73" s="16" t="s">
        <v>181</v>
      </c>
      <c r="B73" s="16" t="s">
        <v>86</v>
      </c>
      <c r="C73" s="16" t="s">
        <v>236</v>
      </c>
      <c r="D73" s="16" t="s">
        <v>104</v>
      </c>
      <c r="E73" s="16" t="s">
        <v>88</v>
      </c>
      <c r="F73" s="16" t="s">
        <v>227</v>
      </c>
      <c r="G73" s="16" t="s">
        <v>234</v>
      </c>
      <c r="H73" s="16" t="s">
        <v>235</v>
      </c>
      <c r="I73" s="16">
        <v>-242946.23</v>
      </c>
      <c r="M73" s="16">
        <v>-242946.23</v>
      </c>
    </row>
    <row r="74" spans="1:42">
      <c r="A74" s="16" t="s">
        <v>181</v>
      </c>
      <c r="B74" s="16" t="s">
        <v>86</v>
      </c>
      <c r="C74" s="16" t="s">
        <v>222</v>
      </c>
      <c r="D74" s="16" t="s">
        <v>104</v>
      </c>
      <c r="E74" s="16" t="s">
        <v>91</v>
      </c>
      <c r="F74" s="16" t="s">
        <v>223</v>
      </c>
      <c r="G74" s="16" t="s">
        <v>224</v>
      </c>
      <c r="H74" s="16" t="s">
        <v>225</v>
      </c>
      <c r="I74" s="16">
        <v>-58315</v>
      </c>
      <c r="Q74" s="16">
        <v>-58315</v>
      </c>
    </row>
    <row r="75" spans="1:42">
      <c r="A75" s="16" t="s">
        <v>181</v>
      </c>
      <c r="B75" s="16" t="s">
        <v>86</v>
      </c>
      <c r="C75" s="16" t="s">
        <v>226</v>
      </c>
      <c r="D75" s="16" t="s">
        <v>104</v>
      </c>
      <c r="E75" s="16" t="s">
        <v>88</v>
      </c>
      <c r="F75" s="16" t="s">
        <v>223</v>
      </c>
      <c r="G75" s="16" t="s">
        <v>224</v>
      </c>
      <c r="H75" s="16" t="s">
        <v>225</v>
      </c>
      <c r="I75" s="16">
        <v>-31219</v>
      </c>
      <c r="T75" s="16">
        <v>-31219</v>
      </c>
    </row>
    <row r="76" spans="1:42">
      <c r="A76" s="16" t="s">
        <v>181</v>
      </c>
      <c r="B76" s="16" t="s">
        <v>87</v>
      </c>
      <c r="C76" s="16" t="s">
        <v>213</v>
      </c>
      <c r="D76" s="16" t="s">
        <v>88</v>
      </c>
      <c r="E76" s="16" t="s">
        <v>104</v>
      </c>
      <c r="F76" s="16" t="s">
        <v>181</v>
      </c>
      <c r="G76" s="16" t="s">
        <v>217</v>
      </c>
      <c r="H76" s="16" t="s">
        <v>214</v>
      </c>
      <c r="I76" s="16">
        <v>114755</v>
      </c>
      <c r="U76" s="16">
        <v>114755</v>
      </c>
    </row>
    <row r="77" spans="1:42">
      <c r="A77" s="16" t="s">
        <v>181</v>
      </c>
      <c r="B77" s="16" t="s">
        <v>87</v>
      </c>
      <c r="C77" s="16" t="s">
        <v>213</v>
      </c>
      <c r="D77" s="16" t="s">
        <v>88</v>
      </c>
      <c r="E77" s="16" t="s">
        <v>104</v>
      </c>
      <c r="F77" s="16" t="s">
        <v>181</v>
      </c>
      <c r="G77" s="16" t="s">
        <v>215</v>
      </c>
      <c r="H77" s="16" t="s">
        <v>216</v>
      </c>
      <c r="I77" s="16">
        <v>294113.99</v>
      </c>
      <c r="Q77" s="16">
        <v>50000</v>
      </c>
      <c r="T77" s="16">
        <v>244113.99</v>
      </c>
    </row>
    <row r="78" spans="1:42">
      <c r="A78" s="16" t="s">
        <v>181</v>
      </c>
      <c r="B78" s="16" t="s">
        <v>87</v>
      </c>
      <c r="C78" s="16" t="s">
        <v>164</v>
      </c>
      <c r="D78" s="16" t="s">
        <v>91</v>
      </c>
      <c r="E78" s="16" t="s">
        <v>104</v>
      </c>
      <c r="F78" s="16" t="s">
        <v>175</v>
      </c>
      <c r="G78" s="16" t="s">
        <v>166</v>
      </c>
      <c r="H78" s="16" t="s">
        <v>167</v>
      </c>
      <c r="I78" s="16">
        <v>395617</v>
      </c>
      <c r="Q78" s="16">
        <v>395617</v>
      </c>
    </row>
    <row r="79" spans="1:42">
      <c r="A79" s="16" t="s">
        <v>227</v>
      </c>
      <c r="B79" s="16" t="s">
        <v>228</v>
      </c>
      <c r="C79" s="16" t="s">
        <v>229</v>
      </c>
      <c r="D79" s="16" t="s">
        <v>122</v>
      </c>
      <c r="E79" s="16" t="s">
        <v>104</v>
      </c>
      <c r="F79" s="16" t="s">
        <v>223</v>
      </c>
      <c r="G79" s="16" t="s">
        <v>230</v>
      </c>
      <c r="H79" s="16" t="s">
        <v>231</v>
      </c>
      <c r="I79" s="16">
        <v>351445</v>
      </c>
      <c r="T79" s="16">
        <v>351445</v>
      </c>
    </row>
    <row r="80" spans="1:42">
      <c r="A80" s="16" t="s">
        <v>227</v>
      </c>
      <c r="B80" s="16" t="s">
        <v>86</v>
      </c>
      <c r="C80" s="16" t="s">
        <v>246</v>
      </c>
      <c r="D80" s="16" t="s">
        <v>104</v>
      </c>
      <c r="E80" s="16" t="s">
        <v>88</v>
      </c>
      <c r="F80" s="16" t="s">
        <v>223</v>
      </c>
      <c r="G80" s="16" t="s">
        <v>247</v>
      </c>
      <c r="H80" s="16" t="s">
        <v>125</v>
      </c>
      <c r="I80" s="16">
        <v>-242946</v>
      </c>
      <c r="M80" s="16">
        <v>-242946</v>
      </c>
    </row>
    <row r="81" spans="1:21">
      <c r="A81" s="16" t="s">
        <v>227</v>
      </c>
      <c r="B81" s="16" t="s">
        <v>86</v>
      </c>
      <c r="C81" s="16" t="s">
        <v>248</v>
      </c>
      <c r="D81" s="16" t="s">
        <v>104</v>
      </c>
      <c r="E81" s="16" t="s">
        <v>88</v>
      </c>
      <c r="F81" s="16" t="s">
        <v>223</v>
      </c>
      <c r="G81" s="16" t="s">
        <v>249</v>
      </c>
      <c r="H81" s="16" t="s">
        <v>250</v>
      </c>
      <c r="I81" s="16">
        <v>-1249</v>
      </c>
      <c r="T81" s="16">
        <v>-1249</v>
      </c>
    </row>
    <row r="82" spans="1:21">
      <c r="A82" s="16" t="s">
        <v>227</v>
      </c>
      <c r="B82" s="16" t="s">
        <v>86</v>
      </c>
      <c r="C82" s="16" t="s">
        <v>251</v>
      </c>
      <c r="D82" s="16" t="s">
        <v>104</v>
      </c>
      <c r="E82" s="16" t="s">
        <v>88</v>
      </c>
      <c r="F82" s="16" t="s">
        <v>223</v>
      </c>
      <c r="G82" s="16" t="s">
        <v>252</v>
      </c>
      <c r="H82" s="16" t="s">
        <v>250</v>
      </c>
      <c r="I82" s="16">
        <v>-180230.5</v>
      </c>
      <c r="U82" s="16">
        <v>-180230.5</v>
      </c>
    </row>
    <row r="83" spans="1:21">
      <c r="A83" s="16" t="s">
        <v>227</v>
      </c>
      <c r="B83" s="16" t="s">
        <v>87</v>
      </c>
      <c r="C83" s="16" t="s">
        <v>233</v>
      </c>
      <c r="D83" s="16" t="s">
        <v>88</v>
      </c>
      <c r="E83" s="16" t="s">
        <v>104</v>
      </c>
      <c r="F83" s="16" t="s">
        <v>227</v>
      </c>
      <c r="G83" s="16" t="s">
        <v>234</v>
      </c>
      <c r="H83" s="16" t="s">
        <v>235</v>
      </c>
      <c r="I83" s="16">
        <v>244265</v>
      </c>
      <c r="U83" s="16">
        <v>244265</v>
      </c>
    </row>
    <row r="84" spans="1:21">
      <c r="A84" s="16" t="s">
        <v>227</v>
      </c>
      <c r="B84" s="16" t="s">
        <v>87</v>
      </c>
      <c r="C84" s="16" t="s">
        <v>236</v>
      </c>
      <c r="D84" s="16" t="s">
        <v>88</v>
      </c>
      <c r="E84" s="16" t="s">
        <v>104</v>
      </c>
      <c r="F84" s="16" t="s">
        <v>227</v>
      </c>
      <c r="G84" s="16" t="s">
        <v>234</v>
      </c>
      <c r="H84" s="16" t="s">
        <v>235</v>
      </c>
      <c r="I84" s="16">
        <v>242946.23</v>
      </c>
      <c r="M84" s="16">
        <v>242946.23</v>
      </c>
    </row>
    <row r="85" spans="1:21">
      <c r="A85" s="16" t="s">
        <v>227</v>
      </c>
      <c r="B85" s="16" t="s">
        <v>109</v>
      </c>
      <c r="C85" s="16" t="s">
        <v>254</v>
      </c>
      <c r="D85" s="16" t="s">
        <v>88</v>
      </c>
      <c r="E85" s="16" t="s">
        <v>104</v>
      </c>
      <c r="F85" s="16" t="s">
        <v>227</v>
      </c>
      <c r="G85" s="16" t="s">
        <v>255</v>
      </c>
      <c r="H85" s="16" t="s">
        <v>170</v>
      </c>
      <c r="I85" s="16">
        <v>405000</v>
      </c>
      <c r="L85" s="16">
        <v>405000</v>
      </c>
    </row>
    <row r="86" spans="1:21">
      <c r="A86" s="16" t="s">
        <v>227</v>
      </c>
      <c r="B86" s="16" t="s">
        <v>99</v>
      </c>
      <c r="C86" s="16" t="s">
        <v>254</v>
      </c>
      <c r="D86" s="16" t="s">
        <v>104</v>
      </c>
      <c r="E86" s="16" t="s">
        <v>88</v>
      </c>
      <c r="F86" s="16" t="s">
        <v>227</v>
      </c>
      <c r="G86" s="16" t="s">
        <v>255</v>
      </c>
      <c r="H86" s="16" t="s">
        <v>256</v>
      </c>
      <c r="I86" s="16">
        <v>-450000</v>
      </c>
      <c r="T86" s="16">
        <v>-450000</v>
      </c>
    </row>
    <row r="87" spans="1:21">
      <c r="A87" s="16" t="s">
        <v>223</v>
      </c>
      <c r="B87" s="16" t="s">
        <v>228</v>
      </c>
      <c r="C87" s="16" t="s">
        <v>270</v>
      </c>
      <c r="D87" s="16" t="s">
        <v>88</v>
      </c>
      <c r="E87" s="16" t="s">
        <v>104</v>
      </c>
      <c r="F87" s="16" t="s">
        <v>243</v>
      </c>
      <c r="G87" s="16" t="s">
        <v>271</v>
      </c>
      <c r="H87" s="16" t="s">
        <v>272</v>
      </c>
      <c r="I87" s="16">
        <v>257054</v>
      </c>
      <c r="Q87" s="16">
        <v>257054</v>
      </c>
    </row>
    <row r="88" spans="1:21">
      <c r="A88" s="16" t="s">
        <v>223</v>
      </c>
      <c r="B88" s="16" t="s">
        <v>86</v>
      </c>
      <c r="C88" s="16" t="s">
        <v>277</v>
      </c>
      <c r="D88" s="16" t="s">
        <v>104</v>
      </c>
      <c r="E88" s="16" t="s">
        <v>88</v>
      </c>
      <c r="F88" s="16" t="s">
        <v>243</v>
      </c>
      <c r="G88" s="16" t="s">
        <v>271</v>
      </c>
      <c r="H88" s="16" t="s">
        <v>278</v>
      </c>
      <c r="I88" s="16">
        <v>-500000.35</v>
      </c>
      <c r="Q88" s="16">
        <v>-500000.35</v>
      </c>
    </row>
    <row r="89" spans="1:21">
      <c r="A89" s="16" t="s">
        <v>223</v>
      </c>
      <c r="B89" s="16" t="s">
        <v>86</v>
      </c>
      <c r="C89" s="16" t="s">
        <v>279</v>
      </c>
      <c r="D89" s="16" t="s">
        <v>104</v>
      </c>
      <c r="E89" s="16" t="s">
        <v>88</v>
      </c>
      <c r="F89" s="16" t="s">
        <v>243</v>
      </c>
      <c r="G89" s="16" t="s">
        <v>280</v>
      </c>
      <c r="H89" s="16" t="s">
        <v>284</v>
      </c>
      <c r="I89" s="16">
        <v>-215455</v>
      </c>
      <c r="U89" s="16">
        <v>-215455</v>
      </c>
    </row>
    <row r="90" spans="1:21">
      <c r="A90" s="16" t="s">
        <v>223</v>
      </c>
      <c r="B90" s="16" t="s">
        <v>86</v>
      </c>
      <c r="C90" s="16" t="s">
        <v>241</v>
      </c>
      <c r="D90" s="16" t="s">
        <v>104</v>
      </c>
      <c r="E90" s="16" t="s">
        <v>242</v>
      </c>
      <c r="F90" s="16" t="s">
        <v>243</v>
      </c>
      <c r="G90" s="16" t="s">
        <v>244</v>
      </c>
      <c r="H90" s="16" t="s">
        <v>245</v>
      </c>
      <c r="I90" s="16">
        <v>-104359</v>
      </c>
      <c r="T90" s="16">
        <v>-104359</v>
      </c>
    </row>
    <row r="91" spans="1:21">
      <c r="A91" s="16" t="s">
        <v>223</v>
      </c>
      <c r="B91" s="16" t="s">
        <v>87</v>
      </c>
      <c r="C91" s="16" t="s">
        <v>246</v>
      </c>
      <c r="D91" s="16" t="s">
        <v>88</v>
      </c>
      <c r="E91" s="16" t="s">
        <v>104</v>
      </c>
      <c r="F91" s="16" t="s">
        <v>223</v>
      </c>
      <c r="G91" s="16" t="s">
        <v>247</v>
      </c>
      <c r="H91" s="16" t="s">
        <v>125</v>
      </c>
      <c r="I91" s="16">
        <v>242946</v>
      </c>
      <c r="M91" s="16">
        <v>242946</v>
      </c>
    </row>
    <row r="92" spans="1:21">
      <c r="A92" s="16" t="s">
        <v>223</v>
      </c>
      <c r="B92" s="16" t="s">
        <v>87</v>
      </c>
      <c r="C92" s="16" t="s">
        <v>248</v>
      </c>
      <c r="D92" s="16" t="s">
        <v>88</v>
      </c>
      <c r="E92" s="16" t="s">
        <v>104</v>
      </c>
      <c r="F92" s="16" t="s">
        <v>223</v>
      </c>
      <c r="G92" s="16" t="s">
        <v>249</v>
      </c>
      <c r="H92" s="16" t="s">
        <v>250</v>
      </c>
      <c r="I92" s="16">
        <v>1249</v>
      </c>
      <c r="T92" s="16">
        <v>1249</v>
      </c>
    </row>
    <row r="93" spans="1:21">
      <c r="A93" s="16" t="s">
        <v>223</v>
      </c>
      <c r="B93" s="16" t="s">
        <v>87</v>
      </c>
      <c r="C93" s="16" t="s">
        <v>251</v>
      </c>
      <c r="D93" s="16" t="s">
        <v>88</v>
      </c>
      <c r="E93" s="16" t="s">
        <v>104</v>
      </c>
      <c r="F93" s="16" t="s">
        <v>223</v>
      </c>
      <c r="G93" s="16" t="s">
        <v>252</v>
      </c>
      <c r="H93" s="16" t="s">
        <v>250</v>
      </c>
      <c r="I93" s="16">
        <v>180230.5</v>
      </c>
      <c r="U93" s="16">
        <v>180230.5</v>
      </c>
    </row>
    <row r="94" spans="1:21">
      <c r="A94" s="16" t="s">
        <v>223</v>
      </c>
      <c r="B94" s="16" t="s">
        <v>87</v>
      </c>
      <c r="C94" s="16" t="s">
        <v>222</v>
      </c>
      <c r="D94" s="16" t="s">
        <v>104</v>
      </c>
      <c r="E94" s="16" t="s">
        <v>91</v>
      </c>
      <c r="F94" s="16" t="s">
        <v>223</v>
      </c>
      <c r="G94" s="16" t="s">
        <v>224</v>
      </c>
      <c r="H94" s="16" t="s">
        <v>225</v>
      </c>
      <c r="I94" s="16">
        <v>58315</v>
      </c>
      <c r="Q94" s="16">
        <v>58315</v>
      </c>
    </row>
    <row r="95" spans="1:21">
      <c r="A95" s="16" t="s">
        <v>223</v>
      </c>
      <c r="B95" s="16" t="s">
        <v>87</v>
      </c>
      <c r="C95" s="16" t="s">
        <v>226</v>
      </c>
      <c r="D95" s="16" t="s">
        <v>88</v>
      </c>
      <c r="E95" s="16" t="s">
        <v>104</v>
      </c>
      <c r="F95" s="16" t="s">
        <v>223</v>
      </c>
      <c r="G95" s="16" t="s">
        <v>224</v>
      </c>
      <c r="H95" s="16" t="s">
        <v>225</v>
      </c>
      <c r="I95" s="16">
        <v>31219</v>
      </c>
      <c r="T95" s="16">
        <v>31219</v>
      </c>
    </row>
    <row r="96" spans="1:21">
      <c r="A96" s="16" t="s">
        <v>223</v>
      </c>
      <c r="B96" s="16" t="s">
        <v>232</v>
      </c>
      <c r="C96" s="16" t="s">
        <v>229</v>
      </c>
      <c r="D96" s="16" t="s">
        <v>104</v>
      </c>
      <c r="E96" s="16" t="s">
        <v>122</v>
      </c>
      <c r="F96" s="16" t="s">
        <v>223</v>
      </c>
      <c r="G96" s="16" t="s">
        <v>230</v>
      </c>
      <c r="H96" s="16" t="s">
        <v>231</v>
      </c>
      <c r="I96" s="16">
        <v>-351445</v>
      </c>
      <c r="T96" s="16">
        <v>-351445</v>
      </c>
    </row>
    <row r="97" spans="1:44">
      <c r="A97" s="16" t="s">
        <v>223</v>
      </c>
      <c r="B97" s="16" t="s">
        <v>109</v>
      </c>
      <c r="C97" s="16" t="s">
        <v>273</v>
      </c>
      <c r="D97" s="16" t="s">
        <v>88</v>
      </c>
      <c r="E97" s="16" t="s">
        <v>104</v>
      </c>
      <c r="F97" s="16" t="s">
        <v>223</v>
      </c>
      <c r="G97" s="16" t="s">
        <v>271</v>
      </c>
      <c r="H97" s="16" t="s">
        <v>274</v>
      </c>
      <c r="I97" s="16">
        <v>242946</v>
      </c>
      <c r="Q97" s="16">
        <v>242946</v>
      </c>
    </row>
    <row r="98" spans="1:44">
      <c r="A98" s="16" t="s">
        <v>223</v>
      </c>
      <c r="B98" s="16" t="s">
        <v>99</v>
      </c>
      <c r="C98" s="16" t="s">
        <v>275</v>
      </c>
      <c r="D98" s="16" t="s">
        <v>104</v>
      </c>
      <c r="E98" s="16" t="s">
        <v>88</v>
      </c>
      <c r="F98" s="16" t="s">
        <v>223</v>
      </c>
      <c r="G98" s="16" t="s">
        <v>271</v>
      </c>
      <c r="H98" s="16" t="s">
        <v>276</v>
      </c>
      <c r="I98" s="16">
        <v>-242946</v>
      </c>
      <c r="M98" s="16">
        <v>-242946</v>
      </c>
    </row>
    <row r="99" spans="1:44">
      <c r="A99" s="16" t="s">
        <v>243</v>
      </c>
      <c r="B99" s="16" t="s">
        <v>86</v>
      </c>
      <c r="C99" s="16" t="s">
        <v>301</v>
      </c>
      <c r="D99" s="16" t="s">
        <v>104</v>
      </c>
      <c r="E99" s="16" t="s">
        <v>91</v>
      </c>
      <c r="F99" s="16" t="s">
        <v>302</v>
      </c>
      <c r="G99" s="16" t="s">
        <v>303</v>
      </c>
      <c r="H99" s="16" t="s">
        <v>304</v>
      </c>
      <c r="I99" s="16">
        <v>-103345</v>
      </c>
      <c r="T99" s="16">
        <v>-103345</v>
      </c>
    </row>
    <row r="100" spans="1:44">
      <c r="A100" s="16" t="s">
        <v>243</v>
      </c>
      <c r="B100" s="16" t="s">
        <v>87</v>
      </c>
      <c r="C100" s="16" t="s">
        <v>277</v>
      </c>
      <c r="D100" s="16" t="s">
        <v>88</v>
      </c>
      <c r="E100" s="16" t="s">
        <v>104</v>
      </c>
      <c r="F100" s="16" t="s">
        <v>243</v>
      </c>
      <c r="G100" s="16" t="s">
        <v>271</v>
      </c>
      <c r="H100" s="16" t="s">
        <v>278</v>
      </c>
      <c r="I100" s="16">
        <v>500000.35</v>
      </c>
      <c r="Q100" s="16">
        <v>500000.35</v>
      </c>
    </row>
    <row r="101" spans="1:44">
      <c r="A101" s="16" t="s">
        <v>243</v>
      </c>
      <c r="B101" s="16" t="s">
        <v>87</v>
      </c>
      <c r="C101" s="16" t="s">
        <v>279</v>
      </c>
      <c r="D101" s="16" t="s">
        <v>88</v>
      </c>
      <c r="E101" s="16" t="s">
        <v>104</v>
      </c>
      <c r="F101" s="16" t="s">
        <v>243</v>
      </c>
      <c r="G101" s="16" t="s">
        <v>280</v>
      </c>
      <c r="H101" s="16" t="s">
        <v>284</v>
      </c>
      <c r="I101" s="16">
        <v>215455</v>
      </c>
      <c r="U101" s="16">
        <v>215455</v>
      </c>
    </row>
    <row r="102" spans="1:44">
      <c r="A102" s="16" t="s">
        <v>243</v>
      </c>
      <c r="B102" s="16" t="s">
        <v>87</v>
      </c>
      <c r="C102" s="16" t="s">
        <v>241</v>
      </c>
      <c r="D102" s="16" t="s">
        <v>242</v>
      </c>
      <c r="E102" s="16" t="s">
        <v>104</v>
      </c>
      <c r="F102" s="16" t="s">
        <v>243</v>
      </c>
      <c r="G102" s="16" t="s">
        <v>244</v>
      </c>
      <c r="H102" s="16" t="s">
        <v>245</v>
      </c>
      <c r="I102" s="16">
        <v>104359</v>
      </c>
      <c r="T102" s="16">
        <v>104359</v>
      </c>
    </row>
    <row r="103" spans="1:44">
      <c r="A103" s="16" t="s">
        <v>243</v>
      </c>
      <c r="B103" s="16" t="s">
        <v>232</v>
      </c>
      <c r="C103" s="16" t="s">
        <v>270</v>
      </c>
      <c r="D103" s="16" t="s">
        <v>104</v>
      </c>
      <c r="E103" s="16" t="s">
        <v>88</v>
      </c>
      <c r="F103" s="16" t="s">
        <v>243</v>
      </c>
      <c r="G103" s="16" t="s">
        <v>271</v>
      </c>
      <c r="H103" s="16" t="s">
        <v>272</v>
      </c>
      <c r="I103" s="16">
        <v>-257054</v>
      </c>
      <c r="Q103" s="16">
        <v>-257054</v>
      </c>
    </row>
    <row r="104" spans="1:44">
      <c r="A104" s="16" t="s">
        <v>302</v>
      </c>
      <c r="B104" s="16" t="s">
        <v>87</v>
      </c>
      <c r="C104" s="16" t="s">
        <v>301</v>
      </c>
      <c r="D104" s="16" t="s">
        <v>91</v>
      </c>
      <c r="E104" s="16" t="s">
        <v>104</v>
      </c>
      <c r="F104" s="16" t="s">
        <v>302</v>
      </c>
      <c r="G104" s="16" t="s">
        <v>303</v>
      </c>
      <c r="H104" s="16" t="s">
        <v>304</v>
      </c>
      <c r="I104" s="16">
        <v>103345</v>
      </c>
      <c r="T104" s="16">
        <v>103345</v>
      </c>
    </row>
    <row r="105" spans="1:44" ht="15.6">
      <c r="A105" s="219" t="s">
        <v>221</v>
      </c>
      <c r="B105" s="219"/>
      <c r="C105" s="219"/>
      <c r="D105" s="219"/>
      <c r="E105" s="219"/>
      <c r="F105" s="219"/>
      <c r="G105" s="219"/>
      <c r="AK105" s="184"/>
      <c r="AL105" s="184"/>
      <c r="AM105" s="184"/>
      <c r="AN105" s="184"/>
      <c r="AQ105" s="16"/>
      <c r="AR105" s="16"/>
    </row>
    <row r="106" spans="1:44">
      <c r="H106" s="16"/>
    </row>
    <row r="107" spans="1:44" ht="13.2" customHeight="1">
      <c r="A107" s="53" t="s">
        <v>41</v>
      </c>
      <c r="B107" s="53" t="s">
        <v>42</v>
      </c>
      <c r="C107" s="53" t="s">
        <v>13</v>
      </c>
      <c r="D107" s="53" t="s">
        <v>81</v>
      </c>
      <c r="E107" s="53" t="s">
        <v>82</v>
      </c>
      <c r="F107" s="53" t="s">
        <v>43</v>
      </c>
      <c r="G107" s="53" t="s">
        <v>83</v>
      </c>
      <c r="H107" s="53" t="s">
        <v>84</v>
      </c>
      <c r="I107" s="53" t="s">
        <v>10</v>
      </c>
      <c r="J107" s="53" t="s">
        <v>204</v>
      </c>
      <c r="K107" s="53" t="s">
        <v>205</v>
      </c>
      <c r="L107" s="53" t="s">
        <v>142</v>
      </c>
      <c r="M107" s="53" t="s">
        <v>4</v>
      </c>
      <c r="N107" s="53" t="s">
        <v>136</v>
      </c>
      <c r="O107" s="100" t="s">
        <v>206</v>
      </c>
      <c r="P107" s="53" t="s">
        <v>5</v>
      </c>
      <c r="Q107" s="53" t="s">
        <v>98</v>
      </c>
      <c r="R107" s="53" t="s">
        <v>100</v>
      </c>
      <c r="S107" s="22" t="s">
        <v>201</v>
      </c>
      <c r="T107" s="145" t="s">
        <v>202</v>
      </c>
      <c r="U107" s="145" t="s">
        <v>203</v>
      </c>
      <c r="V107" s="145" t="s">
        <v>207</v>
      </c>
      <c r="W107" s="146" t="s">
        <v>208</v>
      </c>
      <c r="X107" s="146" t="s">
        <v>209</v>
      </c>
      <c r="Y107" s="146" t="s">
        <v>210</v>
      </c>
      <c r="Z107" s="146" t="s">
        <v>137</v>
      </c>
      <c r="AA107" s="146" t="s">
        <v>138</v>
      </c>
      <c r="AE107"/>
      <c r="AF107"/>
      <c r="AG107"/>
      <c r="AH107"/>
      <c r="AI107"/>
      <c r="AJ107"/>
      <c r="AK107"/>
      <c r="AL107"/>
      <c r="AM107"/>
      <c r="AN107"/>
      <c r="AO107"/>
      <c r="AP107"/>
    </row>
    <row r="108" spans="1:44">
      <c r="A108" s="22" t="s">
        <v>89</v>
      </c>
      <c r="B108" s="22" t="s">
        <v>95</v>
      </c>
      <c r="C108" s="22" t="s">
        <v>103</v>
      </c>
      <c r="D108" s="22" t="s">
        <v>104</v>
      </c>
      <c r="E108" s="22" t="s">
        <v>88</v>
      </c>
      <c r="F108" s="22" t="s">
        <v>89</v>
      </c>
      <c r="G108" s="22"/>
      <c r="H108" s="22" t="s">
        <v>105</v>
      </c>
      <c r="I108" s="22">
        <v>-315000.36</v>
      </c>
      <c r="J108" s="22"/>
      <c r="K108" s="22"/>
      <c r="L108" s="53"/>
      <c r="M108" s="53">
        <v>0</v>
      </c>
      <c r="N108" s="91"/>
      <c r="O108" s="91"/>
      <c r="P108" s="91">
        <v>0</v>
      </c>
      <c r="Q108" s="91"/>
      <c r="R108" s="91"/>
      <c r="S108" s="22"/>
      <c r="T108" s="145"/>
      <c r="U108" s="145"/>
      <c r="V108" s="145"/>
      <c r="W108" s="146"/>
      <c r="X108" s="146"/>
      <c r="Y108" s="146"/>
      <c r="Z108" s="146"/>
      <c r="AA108" s="146"/>
      <c r="AE108"/>
      <c r="AF108"/>
      <c r="AG108"/>
      <c r="AH108"/>
      <c r="AI108"/>
      <c r="AJ108"/>
      <c r="AK108"/>
      <c r="AL108"/>
      <c r="AM108"/>
      <c r="AN108"/>
      <c r="AO108"/>
      <c r="AP108"/>
    </row>
    <row r="109" spans="1:44">
      <c r="A109" s="53" t="s">
        <v>89</v>
      </c>
      <c r="B109" s="53" t="s">
        <v>86</v>
      </c>
      <c r="C109" s="53" t="s">
        <v>106</v>
      </c>
      <c r="D109" s="53" t="s">
        <v>104</v>
      </c>
      <c r="E109" s="53" t="s">
        <v>91</v>
      </c>
      <c r="F109" s="53" t="s">
        <v>92</v>
      </c>
      <c r="G109" s="53" t="s">
        <v>107</v>
      </c>
      <c r="H109" s="53" t="s">
        <v>108</v>
      </c>
      <c r="I109" s="53">
        <v>-293380</v>
      </c>
      <c r="J109" s="53"/>
      <c r="K109" s="53"/>
      <c r="L109" s="53"/>
      <c r="M109" s="53"/>
      <c r="N109" s="91"/>
      <c r="O109" s="91"/>
      <c r="P109" s="91"/>
      <c r="Q109" s="91"/>
      <c r="R109" s="91"/>
      <c r="S109" s="22"/>
      <c r="T109" s="145"/>
      <c r="U109" s="145"/>
      <c r="V109" s="145">
        <v>-293380</v>
      </c>
      <c r="W109" s="146"/>
      <c r="X109" s="146"/>
      <c r="Y109" s="146"/>
      <c r="Z109" s="146"/>
      <c r="AA109" s="146"/>
      <c r="AE109"/>
      <c r="AF109"/>
      <c r="AG109"/>
      <c r="AH109"/>
      <c r="AI109"/>
      <c r="AJ109"/>
      <c r="AK109"/>
      <c r="AL109"/>
      <c r="AM109"/>
      <c r="AN109"/>
      <c r="AO109"/>
      <c r="AP109"/>
    </row>
    <row r="110" spans="1:44">
      <c r="A110" s="53" t="s">
        <v>89</v>
      </c>
      <c r="B110" s="53" t="s">
        <v>99</v>
      </c>
      <c r="C110" s="53" t="s">
        <v>112</v>
      </c>
      <c r="D110" s="53" t="s">
        <v>104</v>
      </c>
      <c r="E110" s="53" t="s">
        <v>88</v>
      </c>
      <c r="F110" s="53" t="s">
        <v>89</v>
      </c>
      <c r="G110" s="53" t="s">
        <v>113</v>
      </c>
      <c r="H110" s="53" t="s">
        <v>114</v>
      </c>
      <c r="I110" s="53">
        <v>-86601</v>
      </c>
      <c r="J110" s="53"/>
      <c r="K110" s="53"/>
      <c r="L110" s="53"/>
      <c r="M110" s="53">
        <v>-86601</v>
      </c>
      <c r="N110" s="91"/>
      <c r="O110" s="91"/>
      <c r="P110" s="91"/>
      <c r="Q110" s="91"/>
      <c r="R110" s="91"/>
      <c r="S110" s="22"/>
      <c r="T110" s="145"/>
      <c r="U110" s="145"/>
      <c r="V110" s="145"/>
      <c r="W110" s="146"/>
      <c r="X110" s="146"/>
      <c r="Y110" s="146"/>
      <c r="Z110" s="146"/>
      <c r="AA110" s="146"/>
      <c r="AE110"/>
      <c r="AF110"/>
      <c r="AG110"/>
      <c r="AH110"/>
      <c r="AI110"/>
      <c r="AJ110"/>
      <c r="AK110"/>
      <c r="AL110"/>
      <c r="AM110"/>
      <c r="AN110"/>
      <c r="AO110"/>
      <c r="AP110"/>
    </row>
    <row r="111" spans="1:44">
      <c r="A111" s="53" t="s">
        <v>93</v>
      </c>
      <c r="B111" s="53" t="s">
        <v>86</v>
      </c>
      <c r="C111" s="53" t="s">
        <v>115</v>
      </c>
      <c r="D111" s="53" t="s">
        <v>104</v>
      </c>
      <c r="E111" s="53" t="s">
        <v>91</v>
      </c>
      <c r="F111" s="53" t="s">
        <v>96</v>
      </c>
      <c r="G111" s="53"/>
      <c r="H111" s="53" t="s">
        <v>116</v>
      </c>
      <c r="I111" s="53">
        <v>-496377</v>
      </c>
      <c r="J111" s="53"/>
      <c r="K111" s="53"/>
      <c r="L111" s="53"/>
      <c r="M111" s="53">
        <v>-496377</v>
      </c>
      <c r="N111" s="91"/>
      <c r="O111" s="91"/>
      <c r="P111" s="91"/>
      <c r="Q111" s="91"/>
      <c r="R111" s="91"/>
      <c r="S111" s="22"/>
      <c r="T111" s="145"/>
      <c r="U111" s="145"/>
      <c r="V111" s="145"/>
      <c r="W111" s="145"/>
      <c r="X111" s="145"/>
      <c r="Y111" s="145"/>
      <c r="Z111" s="145"/>
      <c r="AA111" s="145"/>
      <c r="AB111"/>
      <c r="AC111"/>
      <c r="AD111"/>
      <c r="AE111"/>
      <c r="AF111"/>
      <c r="AG111"/>
      <c r="AH111"/>
      <c r="AI111"/>
      <c r="AJ111"/>
      <c r="AK111"/>
      <c r="AL111"/>
      <c r="AM111"/>
      <c r="AN111"/>
      <c r="AO111"/>
      <c r="AP111"/>
    </row>
    <row r="112" spans="1:44">
      <c r="A112" s="53" t="s">
        <v>93</v>
      </c>
      <c r="B112" s="53" t="s">
        <v>86</v>
      </c>
      <c r="C112" s="53" t="s">
        <v>117</v>
      </c>
      <c r="D112" s="53" t="s">
        <v>104</v>
      </c>
      <c r="E112" s="53" t="s">
        <v>91</v>
      </c>
      <c r="F112" s="53" t="s">
        <v>96</v>
      </c>
      <c r="G112" s="53"/>
      <c r="H112" s="53" t="s">
        <v>118</v>
      </c>
      <c r="I112" s="53">
        <v>-291229</v>
      </c>
      <c r="J112" s="53"/>
      <c r="K112" s="53"/>
      <c r="L112" s="53"/>
      <c r="M112" s="53"/>
      <c r="N112" s="91"/>
      <c r="O112" s="91"/>
      <c r="P112" s="91"/>
      <c r="Q112" s="91"/>
      <c r="R112" s="91"/>
      <c r="S112" s="22"/>
      <c r="T112" s="145"/>
      <c r="U112" s="145"/>
      <c r="V112" s="145">
        <v>-291229</v>
      </c>
      <c r="W112" s="145"/>
      <c r="X112" s="145"/>
      <c r="Y112" s="145"/>
      <c r="Z112" s="145"/>
      <c r="AA112" s="145"/>
      <c r="AB112"/>
      <c r="AC112"/>
      <c r="AD112"/>
      <c r="AE112"/>
      <c r="AF112"/>
      <c r="AG112"/>
      <c r="AH112"/>
      <c r="AI112"/>
      <c r="AJ112"/>
      <c r="AK112"/>
      <c r="AL112"/>
      <c r="AM112"/>
      <c r="AN112"/>
      <c r="AO112"/>
      <c r="AP112"/>
    </row>
    <row r="113" spans="1:42">
      <c r="A113" s="53" t="s">
        <v>92</v>
      </c>
      <c r="B113" s="53" t="s">
        <v>86</v>
      </c>
      <c r="C113" s="53" t="s">
        <v>119</v>
      </c>
      <c r="D113" s="53" t="s">
        <v>104</v>
      </c>
      <c r="E113" s="53" t="s">
        <v>91</v>
      </c>
      <c r="F113" s="53" t="s">
        <v>96</v>
      </c>
      <c r="G113" s="53"/>
      <c r="H113" s="53" t="s">
        <v>118</v>
      </c>
      <c r="I113" s="53">
        <v>-544538</v>
      </c>
      <c r="J113" s="53"/>
      <c r="K113" s="53"/>
      <c r="L113" s="53"/>
      <c r="M113" s="53"/>
      <c r="N113" s="91"/>
      <c r="O113" s="91"/>
      <c r="P113" s="91"/>
      <c r="Q113" s="91"/>
      <c r="R113" s="91"/>
      <c r="S113" s="22"/>
      <c r="T113" s="145"/>
      <c r="U113" s="145"/>
      <c r="V113" s="145">
        <v>-544538</v>
      </c>
      <c r="W113" s="145"/>
      <c r="X113" s="145"/>
      <c r="Y113" s="145"/>
      <c r="Z113" s="145"/>
      <c r="AA113" s="145"/>
      <c r="AB113"/>
      <c r="AC113"/>
      <c r="AD113"/>
      <c r="AE113"/>
      <c r="AF113"/>
      <c r="AG113"/>
      <c r="AH113"/>
      <c r="AI113"/>
      <c r="AJ113"/>
      <c r="AK113"/>
      <c r="AL113"/>
      <c r="AM113"/>
      <c r="AN113"/>
      <c r="AO113"/>
      <c r="AP113"/>
    </row>
    <row r="114" spans="1:42">
      <c r="A114" s="61" t="s">
        <v>92</v>
      </c>
      <c r="B114" s="61" t="s">
        <v>86</v>
      </c>
      <c r="C114" s="61" t="s">
        <v>120</v>
      </c>
      <c r="D114" s="61" t="s">
        <v>104</v>
      </c>
      <c r="E114" s="61" t="s">
        <v>91</v>
      </c>
      <c r="F114" s="61" t="s">
        <v>96</v>
      </c>
      <c r="G114" s="61"/>
      <c r="H114" s="61" t="s">
        <v>118</v>
      </c>
      <c r="I114" s="61">
        <v>-69870</v>
      </c>
      <c r="J114" s="61"/>
      <c r="K114" s="61"/>
      <c r="L114" s="61"/>
      <c r="M114" s="61"/>
      <c r="N114" s="92"/>
      <c r="O114" s="92"/>
      <c r="P114" s="92"/>
      <c r="Q114" s="92"/>
      <c r="R114" s="92"/>
      <c r="T114" s="146"/>
      <c r="U114" s="146"/>
      <c r="V114" s="146">
        <v>-69870</v>
      </c>
      <c r="W114" s="145"/>
      <c r="X114" s="145"/>
      <c r="Y114" s="145"/>
      <c r="Z114" s="145"/>
      <c r="AA114" s="145"/>
      <c r="AB114"/>
      <c r="AC114"/>
      <c r="AD114"/>
      <c r="AE114"/>
      <c r="AF114"/>
      <c r="AG114"/>
      <c r="AH114"/>
      <c r="AI114"/>
      <c r="AJ114"/>
      <c r="AK114"/>
      <c r="AL114"/>
      <c r="AM114"/>
      <c r="AN114"/>
      <c r="AO114"/>
      <c r="AP114"/>
    </row>
    <row r="115" spans="1:42">
      <c r="A115" s="72" t="s">
        <v>92</v>
      </c>
      <c r="B115" s="72" t="s">
        <v>86</v>
      </c>
      <c r="C115" s="72" t="s">
        <v>121</v>
      </c>
      <c r="D115" s="72" t="s">
        <v>104</v>
      </c>
      <c r="E115" s="72" t="s">
        <v>122</v>
      </c>
      <c r="F115" s="72" t="s">
        <v>97</v>
      </c>
      <c r="G115" s="72"/>
      <c r="H115" s="72" t="s">
        <v>123</v>
      </c>
      <c r="I115" s="72">
        <v>-473063</v>
      </c>
      <c r="J115" s="72"/>
      <c r="K115" s="72"/>
      <c r="L115" s="72"/>
      <c r="M115" s="72">
        <v>-473063</v>
      </c>
      <c r="N115" s="92"/>
      <c r="O115" s="92"/>
      <c r="P115" s="92"/>
      <c r="Q115" s="92"/>
      <c r="R115" s="92"/>
      <c r="T115" s="146"/>
      <c r="U115" s="146"/>
      <c r="V115" s="146"/>
      <c r="W115" s="145"/>
      <c r="X115" s="145"/>
      <c r="Y115" s="145"/>
      <c r="Z115" s="145"/>
      <c r="AA115" s="145"/>
      <c r="AB115"/>
      <c r="AC115"/>
      <c r="AD115"/>
      <c r="AE115"/>
      <c r="AF115"/>
      <c r="AG115"/>
      <c r="AH115"/>
      <c r="AI115"/>
      <c r="AJ115"/>
      <c r="AK115"/>
      <c r="AL115"/>
      <c r="AM115"/>
      <c r="AN115"/>
      <c r="AO115"/>
      <c r="AP115"/>
    </row>
    <row r="116" spans="1:42">
      <c r="A116" s="72" t="s">
        <v>92</v>
      </c>
      <c r="B116" s="72" t="s">
        <v>87</v>
      </c>
      <c r="C116" s="72" t="s">
        <v>106</v>
      </c>
      <c r="D116" s="72" t="s">
        <v>91</v>
      </c>
      <c r="E116" s="72" t="s">
        <v>104</v>
      </c>
      <c r="F116" s="72" t="s">
        <v>92</v>
      </c>
      <c r="G116" s="72" t="s">
        <v>107</v>
      </c>
      <c r="H116" s="72" t="s">
        <v>108</v>
      </c>
      <c r="I116" s="72">
        <v>293380</v>
      </c>
      <c r="J116" s="72"/>
      <c r="K116" s="72"/>
      <c r="L116" s="72"/>
      <c r="M116" s="72"/>
      <c r="N116" s="92"/>
      <c r="O116" s="92"/>
      <c r="P116" s="92"/>
      <c r="Q116" s="92"/>
      <c r="R116" s="92"/>
      <c r="T116" s="146"/>
      <c r="U116" s="146"/>
      <c r="V116" s="146">
        <v>293380</v>
      </c>
      <c r="W116" s="145"/>
      <c r="X116" s="145"/>
      <c r="Y116" s="145"/>
      <c r="Z116" s="145"/>
      <c r="AA116" s="145"/>
      <c r="AB116"/>
      <c r="AC116"/>
      <c r="AD116"/>
      <c r="AE116"/>
      <c r="AF116"/>
      <c r="AG116"/>
      <c r="AH116"/>
      <c r="AI116"/>
      <c r="AJ116"/>
      <c r="AK116"/>
      <c r="AL116"/>
      <c r="AM116"/>
      <c r="AN116"/>
      <c r="AO116"/>
      <c r="AP116"/>
    </row>
    <row r="117" spans="1:42">
      <c r="A117" s="77" t="s">
        <v>96</v>
      </c>
      <c r="B117" s="77" t="s">
        <v>86</v>
      </c>
      <c r="C117" s="77" t="s">
        <v>124</v>
      </c>
      <c r="D117" s="77" t="s">
        <v>104</v>
      </c>
      <c r="E117" s="77" t="s">
        <v>88</v>
      </c>
      <c r="F117" s="77" t="s">
        <v>97</v>
      </c>
      <c r="G117" s="77"/>
      <c r="H117" s="77" t="s">
        <v>125</v>
      </c>
      <c r="I117" s="77">
        <v>-78140</v>
      </c>
      <c r="J117" s="77"/>
      <c r="K117" s="77"/>
      <c r="L117" s="77"/>
      <c r="M117" s="77">
        <v>-78140</v>
      </c>
      <c r="N117" s="92"/>
      <c r="O117" s="92"/>
      <c r="P117" s="92"/>
      <c r="Q117" s="92"/>
      <c r="R117" s="92"/>
      <c r="T117" s="146"/>
      <c r="U117" s="146"/>
      <c r="V117" s="146"/>
      <c r="W117" s="145"/>
      <c r="X117" s="145"/>
      <c r="Y117" s="145"/>
      <c r="Z117" s="145"/>
      <c r="AA117" s="145"/>
      <c r="AB117"/>
      <c r="AC117"/>
      <c r="AD117"/>
      <c r="AE117"/>
      <c r="AF117"/>
      <c r="AG117"/>
      <c r="AH117"/>
      <c r="AI117"/>
      <c r="AJ117"/>
      <c r="AK117"/>
      <c r="AL117"/>
      <c r="AM117"/>
      <c r="AN117"/>
      <c r="AO117"/>
      <c r="AP117"/>
    </row>
    <row r="118" spans="1:42">
      <c r="A118" s="77" t="s">
        <v>96</v>
      </c>
      <c r="B118" s="77" t="s">
        <v>86</v>
      </c>
      <c r="C118" s="77" t="s">
        <v>126</v>
      </c>
      <c r="D118" s="77" t="s">
        <v>104</v>
      </c>
      <c r="E118" s="77" t="s">
        <v>127</v>
      </c>
      <c r="F118" s="77" t="s">
        <v>97</v>
      </c>
      <c r="G118" s="77" t="s">
        <v>128</v>
      </c>
      <c r="H118" s="77" t="s">
        <v>129</v>
      </c>
      <c r="I118" s="77">
        <v>-141056</v>
      </c>
      <c r="J118" s="77"/>
      <c r="K118" s="77"/>
      <c r="L118" s="77"/>
      <c r="M118" s="77">
        <v>-141056</v>
      </c>
      <c r="N118" s="92"/>
      <c r="O118" s="92"/>
      <c r="P118" s="92"/>
      <c r="Q118" s="92"/>
      <c r="R118" s="92"/>
      <c r="T118" s="146"/>
      <c r="U118" s="146"/>
      <c r="V118" s="146"/>
      <c r="W118" s="145"/>
      <c r="X118" s="145"/>
      <c r="Y118" s="145"/>
      <c r="Z118" s="145"/>
      <c r="AA118" s="145"/>
      <c r="AB118"/>
      <c r="AC118"/>
      <c r="AD118"/>
      <c r="AE118"/>
      <c r="AF118"/>
      <c r="AG118"/>
      <c r="AH118"/>
      <c r="AI118"/>
      <c r="AJ118"/>
      <c r="AK118"/>
      <c r="AL118"/>
      <c r="AM118"/>
      <c r="AN118"/>
      <c r="AO118"/>
      <c r="AP118"/>
    </row>
    <row r="119" spans="1:42">
      <c r="A119" s="16" t="s">
        <v>96</v>
      </c>
      <c r="B119" s="16" t="s">
        <v>86</v>
      </c>
      <c r="C119" s="16" t="s">
        <v>130</v>
      </c>
      <c r="D119" s="16" t="s">
        <v>104</v>
      </c>
      <c r="E119" s="16" t="s">
        <v>122</v>
      </c>
      <c r="F119" s="16" t="s">
        <v>90</v>
      </c>
      <c r="H119" s="16" t="s">
        <v>131</v>
      </c>
      <c r="I119" s="16">
        <v>-1212842</v>
      </c>
      <c r="N119" s="92"/>
      <c r="O119" s="92"/>
      <c r="P119" s="92"/>
      <c r="Q119" s="92"/>
      <c r="R119" s="92"/>
      <c r="T119" s="146"/>
      <c r="U119" s="146"/>
      <c r="V119" s="146">
        <v>-1212842</v>
      </c>
      <c r="W119" s="146"/>
      <c r="X119" s="146"/>
      <c r="Y119" s="146"/>
      <c r="Z119" s="146"/>
      <c r="AA119" s="145"/>
      <c r="AB119"/>
      <c r="AC119"/>
      <c r="AD119"/>
      <c r="AE119"/>
      <c r="AF119"/>
      <c r="AG119"/>
      <c r="AH119"/>
      <c r="AI119"/>
      <c r="AJ119"/>
      <c r="AK119"/>
      <c r="AL119"/>
      <c r="AM119"/>
      <c r="AN119"/>
      <c r="AO119"/>
      <c r="AP119"/>
    </row>
    <row r="120" spans="1:42">
      <c r="A120" s="16" t="s">
        <v>96</v>
      </c>
      <c r="B120" s="16" t="s">
        <v>86</v>
      </c>
      <c r="C120" s="16" t="s">
        <v>132</v>
      </c>
      <c r="D120" s="16" t="s">
        <v>104</v>
      </c>
      <c r="E120" s="16" t="s">
        <v>122</v>
      </c>
      <c r="F120" s="16" t="s">
        <v>90</v>
      </c>
      <c r="H120" s="16" t="s">
        <v>133</v>
      </c>
      <c r="I120" s="16">
        <v>-560000</v>
      </c>
      <c r="M120" s="16">
        <v>-560000</v>
      </c>
      <c r="N120" s="92"/>
      <c r="O120" s="92"/>
      <c r="P120" s="92"/>
      <c r="Q120" s="92"/>
      <c r="R120" s="92"/>
      <c r="T120" s="146"/>
      <c r="U120" s="146"/>
      <c r="V120" s="146"/>
      <c r="W120" s="146"/>
      <c r="X120" s="146"/>
      <c r="Y120" s="146"/>
      <c r="Z120" s="146"/>
      <c r="AA120" s="145"/>
      <c r="AB120"/>
      <c r="AC120"/>
      <c r="AD120"/>
      <c r="AE120"/>
      <c r="AF120"/>
      <c r="AG120"/>
      <c r="AH120"/>
      <c r="AI120"/>
      <c r="AJ120"/>
      <c r="AK120"/>
      <c r="AL120"/>
      <c r="AM120"/>
      <c r="AN120"/>
      <c r="AO120"/>
      <c r="AP120"/>
    </row>
    <row r="121" spans="1:42">
      <c r="A121" s="86" t="s">
        <v>96</v>
      </c>
      <c r="B121" s="86" t="s">
        <v>86</v>
      </c>
      <c r="C121" s="86" t="s">
        <v>134</v>
      </c>
      <c r="D121" s="86" t="s">
        <v>104</v>
      </c>
      <c r="E121" s="86" t="s">
        <v>91</v>
      </c>
      <c r="F121" s="86" t="s">
        <v>97</v>
      </c>
      <c r="G121" s="86"/>
      <c r="H121" s="86" t="s">
        <v>116</v>
      </c>
      <c r="I121" s="86">
        <v>-200000</v>
      </c>
      <c r="J121" s="86"/>
      <c r="K121" s="86"/>
      <c r="L121" s="86"/>
      <c r="M121" s="86">
        <v>-200000</v>
      </c>
      <c r="N121" s="92"/>
      <c r="O121" s="92"/>
      <c r="P121" s="92"/>
      <c r="Q121" s="92"/>
      <c r="R121" s="92"/>
      <c r="T121" s="146"/>
      <c r="U121" s="146"/>
      <c r="V121" s="146"/>
      <c r="W121" s="146"/>
      <c r="X121" s="146"/>
      <c r="Y121" s="146"/>
      <c r="Z121" s="146"/>
      <c r="AA121" s="145"/>
      <c r="AB121"/>
      <c r="AC121"/>
      <c r="AD121"/>
      <c r="AE121"/>
      <c r="AF121"/>
      <c r="AG121"/>
      <c r="AH121"/>
      <c r="AI121"/>
      <c r="AJ121"/>
      <c r="AK121"/>
      <c r="AL121"/>
      <c r="AM121"/>
      <c r="AN121"/>
      <c r="AO121"/>
      <c r="AP121"/>
    </row>
    <row r="122" spans="1:42">
      <c r="A122" s="86" t="s">
        <v>96</v>
      </c>
      <c r="B122" s="86" t="s">
        <v>87</v>
      </c>
      <c r="C122" s="86" t="s">
        <v>115</v>
      </c>
      <c r="D122" s="86" t="s">
        <v>91</v>
      </c>
      <c r="E122" s="86" t="s">
        <v>104</v>
      </c>
      <c r="F122" s="86" t="s">
        <v>96</v>
      </c>
      <c r="G122" s="86"/>
      <c r="H122" s="86" t="s">
        <v>116</v>
      </c>
      <c r="I122" s="86">
        <v>496377</v>
      </c>
      <c r="J122" s="86"/>
      <c r="K122" s="86"/>
      <c r="L122" s="86"/>
      <c r="M122" s="86">
        <v>496377</v>
      </c>
      <c r="N122" s="92"/>
      <c r="O122" s="92"/>
      <c r="P122" s="92"/>
      <c r="Q122" s="92"/>
      <c r="R122" s="92"/>
      <c r="T122" s="146"/>
      <c r="U122" s="145"/>
      <c r="V122" s="145"/>
      <c r="W122" s="146"/>
      <c r="X122" s="146"/>
      <c r="Y122" s="146"/>
      <c r="Z122" s="146"/>
      <c r="AA122" s="145"/>
      <c r="AB122"/>
      <c r="AC122"/>
      <c r="AD122"/>
      <c r="AE122"/>
      <c r="AF122"/>
      <c r="AG122"/>
      <c r="AH122"/>
      <c r="AI122"/>
      <c r="AJ122"/>
      <c r="AK122"/>
      <c r="AL122"/>
      <c r="AM122"/>
      <c r="AN122"/>
      <c r="AO122"/>
      <c r="AP122"/>
    </row>
    <row r="123" spans="1:42">
      <c r="A123" s="86" t="s">
        <v>96</v>
      </c>
      <c r="B123" s="86" t="s">
        <v>87</v>
      </c>
      <c r="C123" s="86" t="s">
        <v>117</v>
      </c>
      <c r="D123" s="86" t="s">
        <v>91</v>
      </c>
      <c r="E123" s="86" t="s">
        <v>104</v>
      </c>
      <c r="F123" s="86" t="s">
        <v>96</v>
      </c>
      <c r="G123" s="86"/>
      <c r="H123" s="86" t="s">
        <v>118</v>
      </c>
      <c r="I123" s="86">
        <v>291229</v>
      </c>
      <c r="J123" s="86"/>
      <c r="K123" s="86"/>
      <c r="L123" s="86"/>
      <c r="M123" s="86"/>
      <c r="N123" s="92"/>
      <c r="O123" s="92"/>
      <c r="P123" s="92"/>
      <c r="Q123" s="92"/>
      <c r="R123" s="92"/>
      <c r="T123" s="146"/>
      <c r="U123" s="146"/>
      <c r="V123" s="146">
        <v>291229</v>
      </c>
      <c r="W123" s="146"/>
      <c r="X123" s="146"/>
      <c r="Y123" s="146"/>
      <c r="Z123" s="146"/>
      <c r="AA123" s="145"/>
      <c r="AB123"/>
      <c r="AC123"/>
      <c r="AD123"/>
      <c r="AE123"/>
      <c r="AF123"/>
      <c r="AG123"/>
      <c r="AH123"/>
      <c r="AI123"/>
      <c r="AJ123"/>
      <c r="AK123"/>
      <c r="AL123"/>
      <c r="AM123"/>
      <c r="AN123"/>
      <c r="AO123"/>
      <c r="AP123"/>
    </row>
    <row r="124" spans="1:42">
      <c r="A124" s="86" t="s">
        <v>96</v>
      </c>
      <c r="B124" s="86" t="s">
        <v>87</v>
      </c>
      <c r="C124" s="86" t="s">
        <v>119</v>
      </c>
      <c r="D124" s="86" t="s">
        <v>91</v>
      </c>
      <c r="E124" s="86" t="s">
        <v>104</v>
      </c>
      <c r="F124" s="86" t="s">
        <v>96</v>
      </c>
      <c r="G124" s="86"/>
      <c r="H124" s="86" t="s">
        <v>118</v>
      </c>
      <c r="I124" s="86">
        <v>544538</v>
      </c>
      <c r="J124" s="86"/>
      <c r="K124" s="86"/>
      <c r="L124" s="86"/>
      <c r="M124" s="86"/>
      <c r="N124" s="92"/>
      <c r="O124" s="92"/>
      <c r="P124" s="92"/>
      <c r="Q124" s="92"/>
      <c r="R124" s="92"/>
      <c r="T124" s="146"/>
      <c r="U124" s="146"/>
      <c r="V124" s="146">
        <v>544538</v>
      </c>
      <c r="W124" s="146"/>
      <c r="X124" s="146"/>
      <c r="Y124" s="146"/>
      <c r="Z124" s="146"/>
      <c r="AA124" s="145"/>
      <c r="AB124"/>
      <c r="AC124"/>
      <c r="AD124"/>
      <c r="AE124"/>
      <c r="AF124"/>
      <c r="AG124"/>
      <c r="AH124"/>
      <c r="AI124"/>
      <c r="AJ124"/>
      <c r="AK124"/>
      <c r="AL124"/>
      <c r="AM124"/>
      <c r="AN124"/>
      <c r="AO124"/>
      <c r="AP124"/>
    </row>
    <row r="125" spans="1:42">
      <c r="A125" s="86" t="s">
        <v>96</v>
      </c>
      <c r="B125" s="86" t="s">
        <v>87</v>
      </c>
      <c r="C125" s="86" t="s">
        <v>120</v>
      </c>
      <c r="D125" s="86" t="s">
        <v>91</v>
      </c>
      <c r="E125" s="86" t="s">
        <v>104</v>
      </c>
      <c r="F125" s="86" t="s">
        <v>96</v>
      </c>
      <c r="G125" s="86"/>
      <c r="H125" s="86" t="s">
        <v>118</v>
      </c>
      <c r="I125" s="86">
        <v>69870</v>
      </c>
      <c r="J125" s="86"/>
      <c r="K125" s="86"/>
      <c r="L125" s="86"/>
      <c r="M125" s="86"/>
      <c r="N125" s="92"/>
      <c r="O125" s="104"/>
      <c r="P125" s="92"/>
      <c r="Q125" s="92"/>
      <c r="R125" s="92"/>
      <c r="T125" s="146"/>
      <c r="U125" s="146"/>
      <c r="V125" s="146">
        <v>69870</v>
      </c>
      <c r="W125" s="146"/>
      <c r="X125" s="146"/>
      <c r="Y125" s="146"/>
      <c r="Z125" s="146"/>
      <c r="AA125" s="145"/>
      <c r="AB125"/>
      <c r="AC125"/>
      <c r="AD125"/>
      <c r="AE125"/>
      <c r="AF125"/>
      <c r="AG125"/>
      <c r="AH125"/>
      <c r="AI125"/>
      <c r="AJ125"/>
      <c r="AK125"/>
      <c r="AL125"/>
      <c r="AM125"/>
      <c r="AN125"/>
      <c r="AO125"/>
      <c r="AP125"/>
    </row>
    <row r="126" spans="1:42">
      <c r="A126" s="86" t="s">
        <v>97</v>
      </c>
      <c r="B126" s="86" t="s">
        <v>86</v>
      </c>
      <c r="C126" s="86" t="s">
        <v>145</v>
      </c>
      <c r="D126" s="86" t="s">
        <v>104</v>
      </c>
      <c r="E126" s="86" t="s">
        <v>88</v>
      </c>
      <c r="F126" s="86" t="s">
        <v>159</v>
      </c>
      <c r="G126" s="86" t="s">
        <v>143</v>
      </c>
      <c r="H126" s="86" t="s">
        <v>144</v>
      </c>
      <c r="I126" s="86">
        <v>-841253</v>
      </c>
      <c r="J126" s="86"/>
      <c r="K126" s="86"/>
      <c r="L126" s="86"/>
      <c r="M126" s="86">
        <v>-841253</v>
      </c>
      <c r="N126" s="92"/>
      <c r="O126" s="104"/>
      <c r="P126" s="92"/>
      <c r="Q126" s="92"/>
      <c r="R126" s="92"/>
      <c r="T126" s="146"/>
      <c r="U126" s="146"/>
      <c r="V126" s="146"/>
      <c r="W126" s="146"/>
      <c r="X126" s="146"/>
      <c r="Y126" s="146"/>
      <c r="Z126" s="146"/>
      <c r="AA126" s="145"/>
      <c r="AB126"/>
      <c r="AC126"/>
      <c r="AD126"/>
      <c r="AE126"/>
      <c r="AF126"/>
      <c r="AG126"/>
      <c r="AH126"/>
      <c r="AI126"/>
      <c r="AJ126"/>
      <c r="AK126"/>
      <c r="AL126"/>
      <c r="AM126"/>
      <c r="AN126"/>
      <c r="AO126"/>
      <c r="AP126"/>
    </row>
    <row r="127" spans="1:42">
      <c r="A127" s="86" t="s">
        <v>97</v>
      </c>
      <c r="B127" s="86" t="s">
        <v>86</v>
      </c>
      <c r="C127" s="86" t="s">
        <v>150</v>
      </c>
      <c r="D127" s="86" t="s">
        <v>104</v>
      </c>
      <c r="E127" s="86" t="s">
        <v>88</v>
      </c>
      <c r="F127" s="86" t="s">
        <v>90</v>
      </c>
      <c r="G127" s="86" t="s">
        <v>151</v>
      </c>
      <c r="H127" s="86" t="s">
        <v>152</v>
      </c>
      <c r="I127" s="86">
        <v>-163104.76999999999</v>
      </c>
      <c r="J127" s="86"/>
      <c r="K127" s="86"/>
      <c r="L127" s="86"/>
      <c r="M127" s="86">
        <v>-133766.26999999999</v>
      </c>
      <c r="N127" s="92"/>
      <c r="O127" s="104"/>
      <c r="P127" s="92"/>
      <c r="Q127" s="92"/>
      <c r="R127" s="92"/>
      <c r="T127" s="146"/>
      <c r="U127" s="146"/>
      <c r="V127" s="146">
        <v>-29338.5</v>
      </c>
      <c r="W127" s="146"/>
      <c r="X127" s="146"/>
      <c r="Y127" s="146"/>
      <c r="Z127" s="146"/>
      <c r="AA127" s="145"/>
      <c r="AB127"/>
      <c r="AC127"/>
      <c r="AD127"/>
      <c r="AE127"/>
      <c r="AF127"/>
      <c r="AG127"/>
      <c r="AH127"/>
      <c r="AI127"/>
      <c r="AJ127"/>
      <c r="AK127"/>
      <c r="AL127"/>
      <c r="AM127"/>
      <c r="AN127"/>
      <c r="AO127"/>
      <c r="AP127"/>
    </row>
    <row r="128" spans="1:42">
      <c r="A128" s="86" t="s">
        <v>97</v>
      </c>
      <c r="B128" s="86" t="s">
        <v>86</v>
      </c>
      <c r="C128" s="86" t="s">
        <v>155</v>
      </c>
      <c r="D128" s="86" t="s">
        <v>104</v>
      </c>
      <c r="E128" s="86" t="s">
        <v>88</v>
      </c>
      <c r="F128" s="86" t="s">
        <v>90</v>
      </c>
      <c r="G128" s="86" t="s">
        <v>154</v>
      </c>
      <c r="H128" s="86" t="s">
        <v>156</v>
      </c>
      <c r="I128" s="86">
        <v>-264042</v>
      </c>
      <c r="J128" s="86"/>
      <c r="K128" s="86"/>
      <c r="L128" s="86"/>
      <c r="M128" s="86"/>
      <c r="N128" s="92"/>
      <c r="O128" s="104"/>
      <c r="P128" s="92"/>
      <c r="Q128" s="92"/>
      <c r="R128" s="92"/>
      <c r="T128" s="146"/>
      <c r="U128" s="146"/>
      <c r="V128" s="146">
        <v>-264042</v>
      </c>
      <c r="W128" s="146"/>
      <c r="X128" s="146"/>
      <c r="Y128" s="146"/>
      <c r="Z128" s="146"/>
      <c r="AA128" s="145"/>
      <c r="AB128"/>
      <c r="AC128"/>
      <c r="AD128"/>
      <c r="AE128"/>
      <c r="AF128"/>
      <c r="AG128"/>
      <c r="AH128"/>
      <c r="AI128"/>
      <c r="AJ128"/>
      <c r="AK128"/>
      <c r="AL128"/>
      <c r="AM128"/>
      <c r="AN128"/>
      <c r="AO128"/>
      <c r="AP128"/>
    </row>
    <row r="129" spans="1:42">
      <c r="A129" s="86" t="s">
        <v>97</v>
      </c>
      <c r="B129" s="86" t="s">
        <v>86</v>
      </c>
      <c r="C129" s="86" t="s">
        <v>146</v>
      </c>
      <c r="D129" s="86" t="s">
        <v>104</v>
      </c>
      <c r="E129" s="86" t="s">
        <v>122</v>
      </c>
      <c r="F129" s="86" t="s">
        <v>90</v>
      </c>
      <c r="G129" s="86"/>
      <c r="H129" s="86" t="s">
        <v>131</v>
      </c>
      <c r="I129" s="86">
        <v>-486888</v>
      </c>
      <c r="J129" s="86"/>
      <c r="K129" s="86"/>
      <c r="L129" s="86"/>
      <c r="M129" s="86"/>
      <c r="N129" s="92"/>
      <c r="O129" s="104"/>
      <c r="P129" s="92"/>
      <c r="Q129" s="92"/>
      <c r="R129" s="92"/>
      <c r="T129" s="146"/>
      <c r="U129" s="146"/>
      <c r="V129" s="146">
        <v>-486888</v>
      </c>
      <c r="W129" s="146"/>
      <c r="X129" s="146"/>
      <c r="Y129" s="146"/>
      <c r="Z129" s="146"/>
      <c r="AA129" s="145"/>
      <c r="AB129"/>
      <c r="AC129"/>
      <c r="AD129"/>
      <c r="AE129"/>
      <c r="AF129"/>
      <c r="AG129"/>
      <c r="AH129"/>
      <c r="AI129"/>
      <c r="AJ129"/>
      <c r="AK129"/>
      <c r="AL129"/>
      <c r="AM129"/>
      <c r="AN129"/>
      <c r="AO129"/>
      <c r="AP129"/>
    </row>
    <row r="130" spans="1:42">
      <c r="A130" s="86" t="s">
        <v>97</v>
      </c>
      <c r="B130" s="86" t="s">
        <v>87</v>
      </c>
      <c r="C130" s="86" t="s">
        <v>124</v>
      </c>
      <c r="D130" s="86" t="s">
        <v>88</v>
      </c>
      <c r="E130" s="86" t="s">
        <v>104</v>
      </c>
      <c r="F130" s="86" t="s">
        <v>97</v>
      </c>
      <c r="G130" s="86"/>
      <c r="H130" s="86" t="s">
        <v>125</v>
      </c>
      <c r="I130" s="86">
        <v>78140</v>
      </c>
      <c r="J130" s="86"/>
      <c r="K130" s="86"/>
      <c r="L130" s="86"/>
      <c r="M130" s="86">
        <v>78140</v>
      </c>
      <c r="N130" s="92"/>
      <c r="O130" s="104"/>
      <c r="P130" s="92"/>
      <c r="Q130" s="92"/>
      <c r="R130" s="92"/>
      <c r="T130" s="146"/>
      <c r="U130" s="146"/>
      <c r="V130" s="146"/>
      <c r="W130" s="146"/>
      <c r="X130" s="146"/>
      <c r="Y130" s="146"/>
      <c r="Z130" s="146"/>
      <c r="AA130" s="145"/>
      <c r="AB130"/>
      <c r="AC130"/>
      <c r="AD130"/>
      <c r="AE130"/>
      <c r="AF130"/>
      <c r="AG130"/>
      <c r="AH130"/>
      <c r="AI130"/>
      <c r="AJ130"/>
      <c r="AK130"/>
      <c r="AL130"/>
      <c r="AM130"/>
      <c r="AN130"/>
      <c r="AO130"/>
      <c r="AP130"/>
    </row>
    <row r="131" spans="1:42">
      <c r="A131" s="86" t="s">
        <v>97</v>
      </c>
      <c r="B131" s="86" t="s">
        <v>87</v>
      </c>
      <c r="C131" s="86" t="s">
        <v>126</v>
      </c>
      <c r="D131" s="86" t="s">
        <v>127</v>
      </c>
      <c r="E131" s="86" t="s">
        <v>104</v>
      </c>
      <c r="F131" s="86" t="s">
        <v>97</v>
      </c>
      <c r="G131" s="86" t="s">
        <v>128</v>
      </c>
      <c r="H131" s="86" t="s">
        <v>129</v>
      </c>
      <c r="I131" s="86">
        <v>141056</v>
      </c>
      <c r="J131" s="86"/>
      <c r="K131" s="86"/>
      <c r="L131" s="86"/>
      <c r="M131" s="86">
        <v>141056</v>
      </c>
      <c r="N131" s="92"/>
      <c r="O131" s="104"/>
      <c r="P131" s="92"/>
      <c r="Q131" s="92"/>
      <c r="R131" s="92"/>
      <c r="T131" s="146"/>
      <c r="U131" s="146"/>
      <c r="V131" s="146"/>
      <c r="W131" s="146"/>
      <c r="X131" s="146"/>
      <c r="Y131" s="146"/>
      <c r="Z131" s="146"/>
      <c r="AA131" s="146"/>
      <c r="AE131"/>
      <c r="AF131"/>
      <c r="AG131"/>
      <c r="AH131"/>
      <c r="AI131"/>
      <c r="AJ131"/>
      <c r="AK131"/>
      <c r="AL131"/>
      <c r="AM131"/>
      <c r="AN131"/>
      <c r="AO131"/>
      <c r="AP131"/>
    </row>
    <row r="132" spans="1:42">
      <c r="A132" s="95" t="s">
        <v>97</v>
      </c>
      <c r="B132" s="95" t="s">
        <v>87</v>
      </c>
      <c r="C132" s="95" t="s">
        <v>121</v>
      </c>
      <c r="D132" s="95" t="s">
        <v>122</v>
      </c>
      <c r="E132" s="95" t="s">
        <v>104</v>
      </c>
      <c r="F132" s="95" t="s">
        <v>97</v>
      </c>
      <c r="G132" s="95"/>
      <c r="H132" s="95" t="s">
        <v>123</v>
      </c>
      <c r="I132" s="95">
        <v>473063</v>
      </c>
      <c r="J132" s="95"/>
      <c r="K132" s="95"/>
      <c r="L132" s="95"/>
      <c r="M132" s="95"/>
      <c r="N132" s="95"/>
      <c r="O132" s="101"/>
      <c r="P132" s="95"/>
      <c r="Q132" s="95"/>
      <c r="R132" s="95"/>
      <c r="S132" s="95"/>
      <c r="T132" s="146"/>
      <c r="U132" s="146"/>
      <c r="V132" s="146">
        <v>473063</v>
      </c>
      <c r="W132" s="146"/>
      <c r="X132" s="146"/>
      <c r="Y132" s="146"/>
      <c r="Z132" s="146"/>
      <c r="AA132" s="146"/>
    </row>
    <row r="133" spans="1:42">
      <c r="A133" s="95" t="s">
        <v>97</v>
      </c>
      <c r="B133" s="95" t="s">
        <v>87</v>
      </c>
      <c r="C133" s="95" t="s">
        <v>134</v>
      </c>
      <c r="D133" s="95" t="s">
        <v>91</v>
      </c>
      <c r="E133" s="95" t="s">
        <v>104</v>
      </c>
      <c r="F133" s="95" t="s">
        <v>97</v>
      </c>
      <c r="G133" s="95"/>
      <c r="H133" s="95" t="s">
        <v>116</v>
      </c>
      <c r="I133" s="95">
        <v>200000</v>
      </c>
      <c r="J133" s="95"/>
      <c r="K133" s="95"/>
      <c r="L133" s="95"/>
      <c r="M133" s="95">
        <v>200000</v>
      </c>
      <c r="N133" s="95"/>
      <c r="O133" s="101"/>
      <c r="P133" s="95"/>
      <c r="Q133" s="95"/>
      <c r="R133" s="95"/>
      <c r="S133" s="95"/>
      <c r="T133" s="146"/>
      <c r="U133" s="146"/>
      <c r="V133" s="146"/>
      <c r="W133" s="146"/>
      <c r="X133" s="146"/>
      <c r="Y133" s="146"/>
      <c r="Z133" s="146"/>
      <c r="AA133" s="146"/>
    </row>
    <row r="134" spans="1:42">
      <c r="A134" s="95" t="s">
        <v>90</v>
      </c>
      <c r="B134" s="95" t="s">
        <v>86</v>
      </c>
      <c r="C134" s="95" t="s">
        <v>158</v>
      </c>
      <c r="D134" s="95" t="s">
        <v>104</v>
      </c>
      <c r="E134" s="95" t="s">
        <v>88</v>
      </c>
      <c r="F134" s="95" t="s">
        <v>159</v>
      </c>
      <c r="G134" s="95" t="s">
        <v>153</v>
      </c>
      <c r="H134" s="95" t="s">
        <v>156</v>
      </c>
      <c r="I134" s="95">
        <v>-1917747.77</v>
      </c>
      <c r="J134" s="95"/>
      <c r="K134" s="95"/>
      <c r="L134" s="95"/>
      <c r="M134" s="95"/>
      <c r="N134" s="95"/>
      <c r="O134" s="101"/>
      <c r="P134" s="95"/>
      <c r="Q134" s="95"/>
      <c r="R134" s="95">
        <v>-1917747.77</v>
      </c>
      <c r="S134" s="95"/>
      <c r="T134" s="146"/>
      <c r="U134" s="146"/>
      <c r="V134" s="146"/>
      <c r="W134" s="146"/>
      <c r="X134" s="146"/>
      <c r="Y134" s="146"/>
      <c r="Z134" s="146"/>
      <c r="AA134" s="146"/>
    </row>
    <row r="135" spans="1:42">
      <c r="A135" s="95" t="s">
        <v>90</v>
      </c>
      <c r="B135" s="95" t="s">
        <v>86</v>
      </c>
      <c r="C135" s="95" t="s">
        <v>174</v>
      </c>
      <c r="D135" s="95" t="s">
        <v>104</v>
      </c>
      <c r="E135" s="95" t="s">
        <v>88</v>
      </c>
      <c r="F135" s="95" t="s">
        <v>159</v>
      </c>
      <c r="G135" s="95" t="s">
        <v>153</v>
      </c>
      <c r="H135" s="95" t="s">
        <v>156</v>
      </c>
      <c r="I135" s="95">
        <v>-100128</v>
      </c>
      <c r="J135" s="95"/>
      <c r="K135" s="95"/>
      <c r="L135" s="95"/>
      <c r="M135" s="95"/>
      <c r="N135" s="95"/>
      <c r="O135" s="101"/>
      <c r="P135" s="95"/>
      <c r="Q135" s="95"/>
      <c r="R135" s="95">
        <v>-100128</v>
      </c>
      <c r="S135" s="95"/>
      <c r="T135" s="146"/>
      <c r="U135" s="146"/>
      <c r="V135" s="146"/>
      <c r="W135" s="146"/>
      <c r="X135" s="146"/>
      <c r="Y135" s="146"/>
      <c r="Z135" s="146"/>
      <c r="AA135" s="146"/>
    </row>
    <row r="136" spans="1:42">
      <c r="A136" s="16" t="s">
        <v>90</v>
      </c>
      <c r="B136" s="16" t="s">
        <v>86</v>
      </c>
      <c r="C136" s="16" t="s">
        <v>160</v>
      </c>
      <c r="D136" s="16" t="s">
        <v>104</v>
      </c>
      <c r="E136" s="16" t="s">
        <v>161</v>
      </c>
      <c r="F136" s="16" t="s">
        <v>159</v>
      </c>
      <c r="G136" s="16" t="s">
        <v>162</v>
      </c>
      <c r="H136" s="16" t="s">
        <v>163</v>
      </c>
      <c r="I136" s="16">
        <v>-10000</v>
      </c>
      <c r="O136" s="99"/>
      <c r="R136" s="16">
        <v>-10000</v>
      </c>
      <c r="T136" s="146"/>
      <c r="U136" s="146"/>
      <c r="V136" s="146"/>
      <c r="W136" s="146"/>
      <c r="X136" s="146"/>
      <c r="Y136" s="146"/>
      <c r="Z136" s="146"/>
      <c r="AA136" s="146"/>
    </row>
    <row r="137" spans="1:42">
      <c r="A137" s="96" t="s">
        <v>90</v>
      </c>
      <c r="B137" s="96" t="s">
        <v>86</v>
      </c>
      <c r="C137" s="96" t="s">
        <v>164</v>
      </c>
      <c r="D137" s="96" t="s">
        <v>104</v>
      </c>
      <c r="E137" s="96" t="s">
        <v>91</v>
      </c>
      <c r="F137" s="96" t="s">
        <v>175</v>
      </c>
      <c r="G137" s="96" t="s">
        <v>166</v>
      </c>
      <c r="H137" s="96" t="s">
        <v>167</v>
      </c>
      <c r="I137" s="96">
        <v>-425000</v>
      </c>
      <c r="J137" s="96"/>
      <c r="K137" s="96"/>
      <c r="L137" s="96"/>
      <c r="M137" s="96"/>
      <c r="N137" s="96"/>
      <c r="O137" s="102"/>
      <c r="P137" s="96"/>
      <c r="Q137" s="96"/>
      <c r="R137" s="96">
        <v>-425000</v>
      </c>
      <c r="S137" s="96"/>
      <c r="T137" s="146"/>
      <c r="U137" s="146"/>
      <c r="V137" s="146"/>
      <c r="W137" s="146"/>
      <c r="X137" s="146"/>
      <c r="Y137" s="146"/>
      <c r="Z137" s="146"/>
      <c r="AA137" s="146"/>
    </row>
    <row r="138" spans="1:42">
      <c r="A138" s="97" t="s">
        <v>90</v>
      </c>
      <c r="B138" s="97" t="s">
        <v>86</v>
      </c>
      <c r="C138" s="97" t="s">
        <v>168</v>
      </c>
      <c r="D138" s="97" t="s">
        <v>104</v>
      </c>
      <c r="E138" s="97" t="s">
        <v>91</v>
      </c>
      <c r="F138" s="97" t="s">
        <v>159</v>
      </c>
      <c r="G138" s="97" t="s">
        <v>166</v>
      </c>
      <c r="H138" s="97" t="s">
        <v>167</v>
      </c>
      <c r="I138" s="97">
        <v>-200000</v>
      </c>
      <c r="J138" s="97"/>
      <c r="K138" s="97"/>
      <c r="L138" s="97"/>
      <c r="M138" s="97"/>
      <c r="N138" s="97"/>
      <c r="O138" s="103"/>
      <c r="P138" s="97"/>
      <c r="Q138" s="97"/>
      <c r="R138" s="97">
        <v>-200000</v>
      </c>
      <c r="S138" s="97"/>
      <c r="T138" s="146"/>
      <c r="U138" s="146"/>
      <c r="V138" s="146"/>
      <c r="W138" s="146"/>
      <c r="X138" s="146"/>
      <c r="Y138" s="146"/>
      <c r="Z138" s="146"/>
      <c r="AA138" s="146"/>
    </row>
    <row r="139" spans="1:42">
      <c r="A139" s="97" t="s">
        <v>90</v>
      </c>
      <c r="B139" s="97" t="s">
        <v>87</v>
      </c>
      <c r="C139" s="97" t="s">
        <v>150</v>
      </c>
      <c r="D139" s="97" t="s">
        <v>88</v>
      </c>
      <c r="E139" s="97" t="s">
        <v>104</v>
      </c>
      <c r="F139" s="97" t="s">
        <v>90</v>
      </c>
      <c r="G139" s="97" t="s">
        <v>151</v>
      </c>
      <c r="H139" s="97" t="s">
        <v>152</v>
      </c>
      <c r="I139" s="97">
        <v>163104.76999999999</v>
      </c>
      <c r="J139" s="97"/>
      <c r="K139" s="97"/>
      <c r="L139" s="97"/>
      <c r="M139" s="97"/>
      <c r="N139" s="97"/>
      <c r="O139" s="103"/>
      <c r="P139" s="97"/>
      <c r="Q139" s="97"/>
      <c r="R139" s="97">
        <v>163104.76999999999</v>
      </c>
      <c r="S139" s="97"/>
      <c r="T139" s="146"/>
      <c r="U139" s="146"/>
      <c r="V139" s="146"/>
      <c r="W139" s="146"/>
      <c r="X139" s="146"/>
      <c r="Y139" s="146"/>
      <c r="Z139" s="146"/>
      <c r="AA139" s="146"/>
    </row>
    <row r="140" spans="1:42">
      <c r="A140" s="16" t="s">
        <v>90</v>
      </c>
      <c r="B140" s="16" t="s">
        <v>87</v>
      </c>
      <c r="C140" s="16" t="s">
        <v>155</v>
      </c>
      <c r="D140" s="16" t="s">
        <v>88</v>
      </c>
      <c r="E140" s="16" t="s">
        <v>104</v>
      </c>
      <c r="F140" s="16" t="s">
        <v>90</v>
      </c>
      <c r="G140" s="16" t="s">
        <v>154</v>
      </c>
      <c r="H140" s="16" t="s">
        <v>156</v>
      </c>
      <c r="I140" s="16">
        <v>264042</v>
      </c>
      <c r="O140" s="99"/>
      <c r="R140" s="16">
        <v>264042</v>
      </c>
      <c r="T140" s="146"/>
      <c r="U140" s="146"/>
      <c r="V140" s="146"/>
      <c r="W140" s="146"/>
      <c r="X140" s="146"/>
      <c r="Y140" s="146"/>
      <c r="Z140" s="146"/>
      <c r="AA140" s="146"/>
    </row>
    <row r="141" spans="1:42">
      <c r="A141" s="16" t="s">
        <v>90</v>
      </c>
      <c r="B141" s="16" t="s">
        <v>87</v>
      </c>
      <c r="C141" s="16" t="s">
        <v>130</v>
      </c>
      <c r="D141" s="16" t="s">
        <v>122</v>
      </c>
      <c r="E141" s="16" t="s">
        <v>104</v>
      </c>
      <c r="F141" s="16" t="s">
        <v>90</v>
      </c>
      <c r="H141" s="16" t="s">
        <v>131</v>
      </c>
      <c r="I141" s="16">
        <v>1212842</v>
      </c>
      <c r="O141" s="99"/>
      <c r="R141" s="16">
        <v>1212842</v>
      </c>
      <c r="T141" s="146"/>
      <c r="U141" s="146"/>
      <c r="V141" s="146"/>
      <c r="W141" s="146"/>
      <c r="X141" s="146"/>
      <c r="Y141" s="146"/>
      <c r="Z141" s="146"/>
      <c r="AA141" s="146"/>
    </row>
    <row r="142" spans="1:42">
      <c r="A142" s="16" t="s">
        <v>90</v>
      </c>
      <c r="B142" s="16" t="s">
        <v>87</v>
      </c>
      <c r="C142" s="16" t="s">
        <v>132</v>
      </c>
      <c r="D142" s="16" t="s">
        <v>122</v>
      </c>
      <c r="E142" s="16" t="s">
        <v>104</v>
      </c>
      <c r="F142" s="16" t="s">
        <v>90</v>
      </c>
      <c r="H142" s="16" t="s">
        <v>133</v>
      </c>
      <c r="I142" s="16">
        <v>560000</v>
      </c>
      <c r="O142" s="99"/>
      <c r="R142" s="16">
        <v>560000</v>
      </c>
      <c r="T142" s="146"/>
      <c r="U142" s="146"/>
      <c r="V142" s="146"/>
      <c r="W142" s="146"/>
      <c r="X142" s="146"/>
      <c r="Y142" s="146"/>
      <c r="Z142" s="146"/>
      <c r="AA142" s="146"/>
    </row>
    <row r="143" spans="1:42">
      <c r="A143" s="16" t="s">
        <v>90</v>
      </c>
      <c r="B143" s="16" t="s">
        <v>87</v>
      </c>
      <c r="C143" s="16" t="s">
        <v>146</v>
      </c>
      <c r="D143" s="16" t="s">
        <v>122</v>
      </c>
      <c r="E143" s="16" t="s">
        <v>104</v>
      </c>
      <c r="F143" s="16" t="s">
        <v>90</v>
      </c>
      <c r="H143" s="16" t="s">
        <v>131</v>
      </c>
      <c r="I143" s="16">
        <v>486888</v>
      </c>
      <c r="O143" s="99"/>
      <c r="R143" s="16">
        <v>486888</v>
      </c>
      <c r="T143" s="146"/>
      <c r="U143" s="146"/>
      <c r="V143" s="146"/>
      <c r="W143" s="146"/>
      <c r="X143" s="146"/>
      <c r="Y143" s="146"/>
      <c r="Z143" s="146"/>
      <c r="AA143" s="146"/>
    </row>
    <row r="144" spans="1:42">
      <c r="A144" s="16" t="s">
        <v>90</v>
      </c>
      <c r="B144" s="16" t="s">
        <v>109</v>
      </c>
      <c r="C144" s="16" t="s">
        <v>169</v>
      </c>
      <c r="D144" s="16" t="s">
        <v>88</v>
      </c>
      <c r="E144" s="16" t="s">
        <v>104</v>
      </c>
      <c r="F144" s="16" t="s">
        <v>90</v>
      </c>
      <c r="G144" s="16" t="s">
        <v>154</v>
      </c>
      <c r="H144" s="16" t="s">
        <v>170</v>
      </c>
      <c r="I144" s="16">
        <v>264042</v>
      </c>
      <c r="L144" s="16">
        <v>264042</v>
      </c>
      <c r="O144" s="99"/>
      <c r="T144" s="146"/>
      <c r="U144" s="146"/>
      <c r="V144" s="146"/>
      <c r="W144" s="146"/>
      <c r="X144" s="146"/>
      <c r="Y144" s="146"/>
      <c r="Z144" s="146"/>
      <c r="AA144" s="146"/>
    </row>
    <row r="145" spans="1:27">
      <c r="A145" s="16" t="s">
        <v>90</v>
      </c>
      <c r="B145" s="16" t="s">
        <v>109</v>
      </c>
      <c r="C145" s="16" t="s">
        <v>171</v>
      </c>
      <c r="D145" s="16" t="s">
        <v>88</v>
      </c>
      <c r="E145" s="16" t="s">
        <v>104</v>
      </c>
      <c r="F145" s="16" t="s">
        <v>90</v>
      </c>
      <c r="G145" s="16" t="s">
        <v>154</v>
      </c>
      <c r="H145" s="16" t="s">
        <v>170</v>
      </c>
      <c r="I145" s="16">
        <v>104102</v>
      </c>
      <c r="L145" s="16">
        <v>104102</v>
      </c>
      <c r="O145" s="99"/>
      <c r="T145" s="146"/>
      <c r="U145" s="146"/>
      <c r="V145" s="146"/>
      <c r="W145" s="146"/>
      <c r="X145" s="146"/>
      <c r="Y145" s="146"/>
      <c r="Z145" s="146"/>
      <c r="AA145" s="146"/>
    </row>
    <row r="146" spans="1:27">
      <c r="A146" s="16" t="s">
        <v>90</v>
      </c>
      <c r="B146" s="16" t="s">
        <v>99</v>
      </c>
      <c r="C146" s="16" t="s">
        <v>169</v>
      </c>
      <c r="D146" s="16" t="s">
        <v>104</v>
      </c>
      <c r="E146" s="16" t="s">
        <v>88</v>
      </c>
      <c r="F146" s="16" t="s">
        <v>90</v>
      </c>
      <c r="G146" s="16" t="s">
        <v>154</v>
      </c>
      <c r="H146" s="16" t="s">
        <v>172</v>
      </c>
      <c r="I146" s="16">
        <v>-293380</v>
      </c>
      <c r="O146" s="99"/>
      <c r="R146" s="16">
        <v>-293380</v>
      </c>
      <c r="T146" s="146"/>
      <c r="U146" s="146"/>
      <c r="V146" s="146"/>
      <c r="W146" s="146"/>
      <c r="X146" s="146"/>
      <c r="Y146" s="146"/>
      <c r="Z146" s="146"/>
      <c r="AA146" s="146"/>
    </row>
    <row r="147" spans="1:27">
      <c r="A147" s="16" t="s">
        <v>90</v>
      </c>
      <c r="B147" s="16" t="s">
        <v>99</v>
      </c>
      <c r="C147" s="16" t="s">
        <v>171</v>
      </c>
      <c r="D147" s="16" t="s">
        <v>104</v>
      </c>
      <c r="E147" s="16" t="s">
        <v>88</v>
      </c>
      <c r="F147" s="16" t="s">
        <v>90</v>
      </c>
      <c r="G147" s="16" t="s">
        <v>154</v>
      </c>
      <c r="H147" s="16" t="s">
        <v>172</v>
      </c>
      <c r="I147" s="16">
        <v>-115669</v>
      </c>
      <c r="R147" s="16">
        <v>-115669</v>
      </c>
      <c r="T147" s="146"/>
      <c r="U147" s="146"/>
      <c r="V147" s="146"/>
      <c r="W147" s="146"/>
      <c r="X147" s="146"/>
      <c r="Y147" s="146"/>
      <c r="Z147" s="146"/>
      <c r="AA147" s="146"/>
    </row>
    <row r="148" spans="1:27">
      <c r="A148" s="16" t="s">
        <v>159</v>
      </c>
      <c r="B148" s="16" t="s">
        <v>86</v>
      </c>
      <c r="C148" s="16" t="s">
        <v>176</v>
      </c>
      <c r="D148" s="16" t="s">
        <v>104</v>
      </c>
      <c r="E148" s="16" t="s">
        <v>88</v>
      </c>
      <c r="F148" s="16" t="s">
        <v>165</v>
      </c>
      <c r="G148" s="16" t="s">
        <v>153</v>
      </c>
      <c r="H148" s="16" t="s">
        <v>156</v>
      </c>
      <c r="I148" s="16">
        <v>-2297268.77</v>
      </c>
      <c r="R148" s="16">
        <v>-2297268.77</v>
      </c>
      <c r="T148" s="146"/>
      <c r="U148" s="146"/>
      <c r="V148" s="146"/>
      <c r="W148" s="146"/>
      <c r="X148" s="146"/>
      <c r="Y148" s="146"/>
      <c r="Z148" s="146"/>
      <c r="AA148" s="146"/>
    </row>
    <row r="149" spans="1:27">
      <c r="A149" s="16" t="s">
        <v>159</v>
      </c>
      <c r="B149" s="16" t="s">
        <v>87</v>
      </c>
      <c r="C149" s="16" t="s">
        <v>145</v>
      </c>
      <c r="D149" s="16" t="s">
        <v>88</v>
      </c>
      <c r="E149" s="16" t="s">
        <v>104</v>
      </c>
      <c r="F149" s="16" t="s">
        <v>159</v>
      </c>
      <c r="G149" s="16" t="s">
        <v>143</v>
      </c>
      <c r="H149" s="16" t="s">
        <v>144</v>
      </c>
      <c r="I149" s="16">
        <v>841253</v>
      </c>
      <c r="M149" s="16">
        <v>841253</v>
      </c>
      <c r="T149" s="146"/>
      <c r="U149" s="146"/>
      <c r="V149" s="146"/>
      <c r="W149" s="146"/>
      <c r="X149" s="146"/>
      <c r="Y149" s="146"/>
      <c r="Z149" s="146"/>
      <c r="AA149" s="146"/>
    </row>
    <row r="150" spans="1:27">
      <c r="A150" s="16" t="s">
        <v>159</v>
      </c>
      <c r="B150" s="16" t="s">
        <v>87</v>
      </c>
      <c r="C150" s="16" t="s">
        <v>158</v>
      </c>
      <c r="D150" s="16" t="s">
        <v>88</v>
      </c>
      <c r="E150" s="16" t="s">
        <v>104</v>
      </c>
      <c r="F150" s="16" t="s">
        <v>159</v>
      </c>
      <c r="G150" s="16" t="s">
        <v>153</v>
      </c>
      <c r="H150" s="16" t="s">
        <v>156</v>
      </c>
      <c r="I150" s="16">
        <v>1917747.77</v>
      </c>
      <c r="R150" s="16">
        <v>1917747.77</v>
      </c>
      <c r="T150" s="146"/>
      <c r="U150" s="146"/>
      <c r="V150" s="146"/>
      <c r="W150" s="146"/>
      <c r="X150" s="146"/>
      <c r="Y150" s="146"/>
      <c r="Z150" s="146"/>
      <c r="AA150" s="146"/>
    </row>
    <row r="151" spans="1:27">
      <c r="A151" s="16" t="s">
        <v>159</v>
      </c>
      <c r="B151" s="16" t="s">
        <v>87</v>
      </c>
      <c r="C151" s="16" t="s">
        <v>174</v>
      </c>
      <c r="D151" s="16" t="s">
        <v>88</v>
      </c>
      <c r="E151" s="16" t="s">
        <v>104</v>
      </c>
      <c r="F151" s="16" t="s">
        <v>159</v>
      </c>
      <c r="G151" s="16" t="s">
        <v>153</v>
      </c>
      <c r="H151" s="16" t="s">
        <v>156</v>
      </c>
      <c r="I151" s="16">
        <v>100128</v>
      </c>
      <c r="R151" s="16">
        <v>100128</v>
      </c>
      <c r="T151" s="146"/>
      <c r="U151" s="146"/>
      <c r="V151" s="146"/>
      <c r="W151" s="146"/>
      <c r="X151" s="146"/>
      <c r="Y151" s="146"/>
      <c r="Z151" s="146"/>
      <c r="AA151" s="146"/>
    </row>
    <row r="152" spans="1:27">
      <c r="A152" s="16" t="s">
        <v>159</v>
      </c>
      <c r="B152" s="16" t="s">
        <v>87</v>
      </c>
      <c r="C152" s="16" t="s">
        <v>160</v>
      </c>
      <c r="D152" s="16" t="s">
        <v>161</v>
      </c>
      <c r="E152" s="16" t="s">
        <v>104</v>
      </c>
      <c r="F152" s="16" t="s">
        <v>159</v>
      </c>
      <c r="G152" s="16" t="s">
        <v>162</v>
      </c>
      <c r="H152" s="16" t="s">
        <v>163</v>
      </c>
      <c r="I152" s="16">
        <v>10000</v>
      </c>
      <c r="R152" s="16">
        <v>10000</v>
      </c>
      <c r="T152" s="146"/>
      <c r="U152" s="146"/>
      <c r="V152" s="146"/>
      <c r="W152" s="146"/>
      <c r="X152" s="146"/>
      <c r="Y152" s="146"/>
      <c r="Z152" s="146"/>
      <c r="AA152" s="146"/>
    </row>
    <row r="153" spans="1:27">
      <c r="A153" s="16" t="s">
        <v>159</v>
      </c>
      <c r="B153" s="16" t="s">
        <v>87</v>
      </c>
      <c r="C153" s="16" t="s">
        <v>164</v>
      </c>
      <c r="D153" s="16" t="s">
        <v>91</v>
      </c>
      <c r="E153" s="16" t="s">
        <v>104</v>
      </c>
      <c r="F153" s="16" t="s">
        <v>175</v>
      </c>
      <c r="G153" s="16" t="s">
        <v>166</v>
      </c>
      <c r="H153" s="16" t="s">
        <v>167</v>
      </c>
      <c r="I153" s="16">
        <v>29383</v>
      </c>
      <c r="Q153" s="16">
        <v>29383</v>
      </c>
      <c r="T153" s="146"/>
      <c r="U153" s="146"/>
      <c r="V153" s="146"/>
      <c r="W153" s="146"/>
      <c r="X153" s="146"/>
      <c r="Y153" s="146"/>
      <c r="Z153" s="146"/>
      <c r="AA153" s="146"/>
    </row>
    <row r="154" spans="1:27">
      <c r="A154" s="98" t="s">
        <v>159</v>
      </c>
      <c r="B154" s="98" t="s">
        <v>87</v>
      </c>
      <c r="C154" s="98" t="s">
        <v>168</v>
      </c>
      <c r="D154" s="98" t="s">
        <v>91</v>
      </c>
      <c r="E154" s="98" t="s">
        <v>104</v>
      </c>
      <c r="F154" s="98" t="s">
        <v>159</v>
      </c>
      <c r="G154" s="98" t="s">
        <v>166</v>
      </c>
      <c r="H154" s="98" t="s">
        <v>167</v>
      </c>
      <c r="I154" s="98">
        <v>200000</v>
      </c>
      <c r="J154" s="98"/>
      <c r="K154" s="98"/>
      <c r="L154" s="98"/>
      <c r="M154" s="98"/>
      <c r="N154" s="98"/>
      <c r="O154" s="98"/>
      <c r="P154" s="98"/>
      <c r="Q154" s="98"/>
      <c r="R154" s="98">
        <v>200000</v>
      </c>
      <c r="S154" s="98"/>
      <c r="T154" s="146"/>
      <c r="U154" s="146"/>
      <c r="V154" s="146"/>
      <c r="W154" s="146"/>
      <c r="X154" s="146"/>
      <c r="Y154" s="146"/>
      <c r="Z154" s="146"/>
      <c r="AA154" s="146"/>
    </row>
    <row r="155" spans="1:27">
      <c r="A155" s="98" t="s">
        <v>159</v>
      </c>
      <c r="B155" s="98" t="s">
        <v>109</v>
      </c>
      <c r="C155" s="98" t="s">
        <v>173</v>
      </c>
      <c r="D155" s="98" t="s">
        <v>88</v>
      </c>
      <c r="E155" s="98" t="s">
        <v>104</v>
      </c>
      <c r="F155" s="98" t="s">
        <v>159</v>
      </c>
      <c r="G155" s="98" t="s">
        <v>157</v>
      </c>
      <c r="H155" s="98" t="s">
        <v>170</v>
      </c>
      <c r="I155" s="98">
        <v>90000</v>
      </c>
      <c r="J155" s="98"/>
      <c r="K155" s="98"/>
      <c r="L155" s="98">
        <v>90000</v>
      </c>
      <c r="M155" s="98"/>
      <c r="N155" s="98"/>
      <c r="O155" s="98"/>
      <c r="P155" s="98"/>
      <c r="Q155" s="98"/>
      <c r="R155" s="98"/>
      <c r="S155" s="98"/>
      <c r="T155" s="146"/>
      <c r="U155" s="146"/>
      <c r="V155" s="146"/>
      <c r="W155" s="146"/>
      <c r="X155" s="146"/>
      <c r="Y155" s="146"/>
      <c r="Z155" s="146"/>
      <c r="AA155" s="146"/>
    </row>
    <row r="156" spans="1:27">
      <c r="A156" s="106" t="s">
        <v>159</v>
      </c>
      <c r="B156" s="106" t="s">
        <v>109</v>
      </c>
      <c r="C156" s="106" t="s">
        <v>177</v>
      </c>
      <c r="D156" s="106" t="s">
        <v>88</v>
      </c>
      <c r="E156" s="106" t="s">
        <v>104</v>
      </c>
      <c r="F156" s="106" t="s">
        <v>159</v>
      </c>
      <c r="G156" s="106" t="s">
        <v>178</v>
      </c>
      <c r="H156" s="106" t="s">
        <v>170</v>
      </c>
      <c r="I156" s="106">
        <v>45000</v>
      </c>
      <c r="J156" s="106"/>
      <c r="K156" s="106"/>
      <c r="L156" s="106">
        <v>45000</v>
      </c>
      <c r="M156" s="106"/>
      <c r="N156" s="106"/>
      <c r="O156" s="106"/>
      <c r="P156" s="106"/>
      <c r="Q156" s="106"/>
      <c r="R156" s="106"/>
      <c r="S156" s="106"/>
      <c r="T156" s="146"/>
      <c r="U156" s="146"/>
      <c r="V156" s="146"/>
      <c r="W156" s="146"/>
      <c r="X156" s="146"/>
      <c r="Y156" s="146"/>
      <c r="Z156" s="146"/>
      <c r="AA156" s="146"/>
    </row>
    <row r="157" spans="1:27">
      <c r="A157" s="106" t="s">
        <v>159</v>
      </c>
      <c r="B157" s="106" t="s">
        <v>109</v>
      </c>
      <c r="C157" s="106" t="s">
        <v>179</v>
      </c>
      <c r="D157" s="106" t="s">
        <v>88</v>
      </c>
      <c r="E157" s="106" t="s">
        <v>104</v>
      </c>
      <c r="F157" s="106" t="s">
        <v>159</v>
      </c>
      <c r="G157" s="106" t="s">
        <v>154</v>
      </c>
      <c r="H157" s="106" t="s">
        <v>170</v>
      </c>
      <c r="I157" s="106">
        <v>50000</v>
      </c>
      <c r="J157" s="106"/>
      <c r="K157" s="106"/>
      <c r="L157" s="106">
        <v>50000</v>
      </c>
      <c r="M157" s="106"/>
      <c r="N157" s="106"/>
      <c r="O157" s="106"/>
      <c r="P157" s="106"/>
      <c r="Q157" s="106"/>
      <c r="R157" s="106"/>
      <c r="S157" s="106"/>
      <c r="T157" s="146"/>
      <c r="U157" s="146"/>
      <c r="V157" s="146"/>
      <c r="W157" s="146"/>
      <c r="X157" s="146"/>
      <c r="Y157" s="146"/>
      <c r="Z157" s="146"/>
      <c r="AA157" s="146"/>
    </row>
    <row r="158" spans="1:27">
      <c r="A158" s="106" t="s">
        <v>159</v>
      </c>
      <c r="B158" s="106" t="s">
        <v>99</v>
      </c>
      <c r="C158" s="106" t="s">
        <v>173</v>
      </c>
      <c r="D158" s="106" t="s">
        <v>104</v>
      </c>
      <c r="E158" s="106" t="s">
        <v>88</v>
      </c>
      <c r="F158" s="106" t="s">
        <v>159</v>
      </c>
      <c r="G158" s="106" t="s">
        <v>157</v>
      </c>
      <c r="H158" s="106" t="s">
        <v>172</v>
      </c>
      <c r="I158" s="106">
        <v>-100000</v>
      </c>
      <c r="J158" s="106"/>
      <c r="K158" s="106"/>
      <c r="L158" s="106"/>
      <c r="M158" s="106"/>
      <c r="N158" s="106"/>
      <c r="O158" s="106"/>
      <c r="P158" s="106"/>
      <c r="Q158" s="106"/>
      <c r="R158" s="106">
        <v>-100000</v>
      </c>
      <c r="S158" s="106"/>
      <c r="T158" s="146"/>
      <c r="U158" s="146"/>
      <c r="V158" s="146"/>
      <c r="W158" s="146"/>
      <c r="X158" s="146"/>
      <c r="Y158" s="146"/>
      <c r="Z158" s="146"/>
      <c r="AA158" s="146"/>
    </row>
    <row r="159" spans="1:27">
      <c r="A159" s="106" t="s">
        <v>159</v>
      </c>
      <c r="B159" s="106" t="s">
        <v>99</v>
      </c>
      <c r="C159" s="106" t="s">
        <v>177</v>
      </c>
      <c r="D159" s="106" t="s">
        <v>104</v>
      </c>
      <c r="E159" s="106" t="s">
        <v>88</v>
      </c>
      <c r="F159" s="106" t="s">
        <v>159</v>
      </c>
      <c r="G159" s="106" t="s">
        <v>178</v>
      </c>
      <c r="H159" s="106" t="s">
        <v>170</v>
      </c>
      <c r="I159" s="106">
        <v>-50000</v>
      </c>
      <c r="J159" s="106"/>
      <c r="K159" s="106"/>
      <c r="L159" s="106"/>
      <c r="M159" s="106"/>
      <c r="N159" s="106"/>
      <c r="O159" s="106"/>
      <c r="P159" s="106"/>
      <c r="Q159" s="106">
        <v>-50000</v>
      </c>
      <c r="R159" s="106"/>
      <c r="S159" s="106"/>
      <c r="T159" s="146"/>
      <c r="U159" s="146"/>
      <c r="V159" s="146"/>
      <c r="W159" s="146"/>
      <c r="X159" s="146"/>
      <c r="Y159" s="146"/>
      <c r="Z159" s="146"/>
      <c r="AA159" s="146"/>
    </row>
    <row r="160" spans="1:27">
      <c r="A160" s="106" t="s">
        <v>159</v>
      </c>
      <c r="B160" s="106" t="s">
        <v>99</v>
      </c>
      <c r="C160" s="106" t="s">
        <v>179</v>
      </c>
      <c r="D160" s="106" t="s">
        <v>104</v>
      </c>
      <c r="E160" s="106" t="s">
        <v>88</v>
      </c>
      <c r="F160" s="106" t="s">
        <v>159</v>
      </c>
      <c r="G160" s="106" t="s">
        <v>154</v>
      </c>
      <c r="H160" s="106" t="s">
        <v>172</v>
      </c>
      <c r="I160" s="106">
        <v>-55556</v>
      </c>
      <c r="J160" s="106"/>
      <c r="K160" s="106"/>
      <c r="L160" s="106"/>
      <c r="M160" s="106"/>
      <c r="N160" s="106"/>
      <c r="O160" s="106"/>
      <c r="P160" s="106"/>
      <c r="Q160" s="106"/>
      <c r="R160" s="106">
        <v>-55556</v>
      </c>
      <c r="S160" s="106"/>
      <c r="T160" s="146"/>
      <c r="U160" s="146"/>
      <c r="V160" s="146"/>
      <c r="W160" s="146"/>
      <c r="X160" s="146"/>
      <c r="Y160" s="146"/>
      <c r="Z160" s="146"/>
      <c r="AA160" s="146"/>
    </row>
    <row r="161" spans="1:27">
      <c r="A161" s="106" t="s">
        <v>165</v>
      </c>
      <c r="B161" s="106" t="s">
        <v>87</v>
      </c>
      <c r="C161" s="106" t="s">
        <v>176</v>
      </c>
      <c r="D161" s="106" t="s">
        <v>88</v>
      </c>
      <c r="E161" s="106" t="s">
        <v>104</v>
      </c>
      <c r="F161" s="106" t="s">
        <v>165</v>
      </c>
      <c r="G161" s="106" t="s">
        <v>153</v>
      </c>
      <c r="H161" s="106" t="s">
        <v>156</v>
      </c>
      <c r="I161" s="106">
        <v>2297268.77</v>
      </c>
      <c r="J161" s="106"/>
      <c r="K161" s="106"/>
      <c r="L161" s="106"/>
      <c r="M161" s="106"/>
      <c r="N161" s="106"/>
      <c r="O161" s="106"/>
      <c r="P161" s="106"/>
      <c r="Q161" s="106"/>
      <c r="R161" s="106">
        <v>2297268.77</v>
      </c>
      <c r="S161" s="106"/>
      <c r="T161" s="146"/>
      <c r="U161" s="146"/>
      <c r="V161" s="146"/>
      <c r="W161" s="146"/>
      <c r="X161" s="146"/>
      <c r="Y161" s="146"/>
      <c r="Z161" s="146"/>
      <c r="AA161" s="146"/>
    </row>
    <row r="162" spans="1:27">
      <c r="A162" s="106" t="s">
        <v>165</v>
      </c>
      <c r="B162" s="106" t="s">
        <v>109</v>
      </c>
      <c r="C162" s="106" t="s">
        <v>180</v>
      </c>
      <c r="D162" s="106" t="s">
        <v>88</v>
      </c>
      <c r="E162" s="106" t="s">
        <v>104</v>
      </c>
      <c r="F162" s="106" t="s">
        <v>165</v>
      </c>
      <c r="G162" s="106" t="s">
        <v>153</v>
      </c>
      <c r="H162" s="106" t="s">
        <v>170</v>
      </c>
      <c r="I162" s="106">
        <v>2396422</v>
      </c>
      <c r="J162" s="106"/>
      <c r="K162" s="106"/>
      <c r="L162" s="106">
        <v>2396422</v>
      </c>
      <c r="M162" s="106"/>
      <c r="N162" s="106"/>
      <c r="O162" s="106"/>
      <c r="P162" s="106"/>
      <c r="Q162" s="106"/>
      <c r="R162" s="106"/>
      <c r="S162" s="106"/>
      <c r="T162" s="146"/>
      <c r="U162" s="146"/>
      <c r="V162" s="146"/>
      <c r="W162" s="146"/>
      <c r="X162" s="146"/>
      <c r="Y162" s="146"/>
      <c r="Z162" s="146"/>
      <c r="AA162" s="146"/>
    </row>
    <row r="163" spans="1:27">
      <c r="A163" s="106" t="s">
        <v>165</v>
      </c>
      <c r="B163" s="106" t="s">
        <v>99</v>
      </c>
      <c r="C163" s="106" t="s">
        <v>180</v>
      </c>
      <c r="D163" s="106" t="s">
        <v>104</v>
      </c>
      <c r="E163" s="106" t="s">
        <v>88</v>
      </c>
      <c r="F163" s="106" t="s">
        <v>165</v>
      </c>
      <c r="G163" s="106" t="s">
        <v>153</v>
      </c>
      <c r="H163" s="106" t="s">
        <v>172</v>
      </c>
      <c r="I163" s="106">
        <v>-2662691</v>
      </c>
      <c r="J163" s="106"/>
      <c r="K163" s="106"/>
      <c r="L163" s="106"/>
      <c r="M163" s="106"/>
      <c r="N163" s="106"/>
      <c r="O163" s="106"/>
      <c r="P163" s="106"/>
      <c r="Q163" s="106"/>
      <c r="R163" s="106">
        <v>-2662691</v>
      </c>
      <c r="S163" s="106"/>
      <c r="T163" s="146"/>
      <c r="U163" s="146"/>
      <c r="V163" s="146"/>
      <c r="W163" s="146"/>
      <c r="X163" s="146"/>
      <c r="Y163" s="146"/>
      <c r="Z163" s="146"/>
      <c r="AA163" s="146"/>
    </row>
    <row r="164" spans="1:27">
      <c r="A164" s="106" t="s">
        <v>212</v>
      </c>
      <c r="B164" s="106" t="s">
        <v>86</v>
      </c>
      <c r="C164" s="106" t="s">
        <v>213</v>
      </c>
      <c r="D164" s="106" t="s">
        <v>104</v>
      </c>
      <c r="E164" s="106" t="s">
        <v>88</v>
      </c>
      <c r="F164" s="106" t="s">
        <v>181</v>
      </c>
      <c r="G164" s="106" t="s">
        <v>217</v>
      </c>
      <c r="H164" s="106" t="s">
        <v>214</v>
      </c>
      <c r="I164" s="106">
        <v>-114755</v>
      </c>
      <c r="J164" s="106"/>
      <c r="K164" s="106"/>
      <c r="L164" s="106"/>
      <c r="M164" s="106"/>
      <c r="N164" s="106"/>
      <c r="O164" s="106"/>
      <c r="P164" s="106"/>
      <c r="Q164" s="106"/>
      <c r="R164" s="106"/>
      <c r="S164" s="106"/>
      <c r="T164" s="146"/>
      <c r="U164" s="146">
        <v>-114755</v>
      </c>
      <c r="V164" s="146"/>
      <c r="W164" s="146"/>
      <c r="X164" s="146"/>
      <c r="Y164" s="146"/>
      <c r="Z164" s="146"/>
      <c r="AA164" s="146"/>
    </row>
    <row r="165" spans="1:27">
      <c r="A165" s="16" t="s">
        <v>212</v>
      </c>
      <c r="B165" s="16" t="s">
        <v>86</v>
      </c>
      <c r="C165" s="16" t="s">
        <v>213</v>
      </c>
      <c r="D165" s="16" t="s">
        <v>104</v>
      </c>
      <c r="E165" s="16" t="s">
        <v>88</v>
      </c>
      <c r="F165" s="16" t="s">
        <v>181</v>
      </c>
      <c r="G165" s="16" t="s">
        <v>215</v>
      </c>
      <c r="H165" s="16" t="s">
        <v>216</v>
      </c>
      <c r="I165" s="16">
        <v>-294113.99</v>
      </c>
      <c r="Q165" s="16">
        <v>-50000</v>
      </c>
      <c r="T165" s="16">
        <v>-244113.99</v>
      </c>
    </row>
    <row r="166" spans="1:27">
      <c r="A166" s="16" t="s">
        <v>181</v>
      </c>
      <c r="B166" s="16" t="s">
        <v>86</v>
      </c>
      <c r="C166" s="16" t="s">
        <v>233</v>
      </c>
      <c r="D166" s="16" t="s">
        <v>104</v>
      </c>
      <c r="E166" s="16" t="s">
        <v>88</v>
      </c>
      <c r="F166" s="16" t="s">
        <v>227</v>
      </c>
      <c r="G166" s="16" t="s">
        <v>234</v>
      </c>
      <c r="H166" s="16" t="s">
        <v>235</v>
      </c>
      <c r="I166" s="16">
        <v>-244265</v>
      </c>
      <c r="U166" s="16">
        <v>-244265</v>
      </c>
    </row>
    <row r="167" spans="1:27">
      <c r="A167" s="170" t="s">
        <v>181</v>
      </c>
      <c r="B167" s="170" t="s">
        <v>86</v>
      </c>
      <c r="C167" s="170" t="s">
        <v>236</v>
      </c>
      <c r="D167" s="170" t="s">
        <v>104</v>
      </c>
      <c r="E167" s="170" t="s">
        <v>88</v>
      </c>
      <c r="F167" s="170" t="s">
        <v>227</v>
      </c>
      <c r="G167" s="170" t="s">
        <v>234</v>
      </c>
      <c r="H167" s="170" t="s">
        <v>235</v>
      </c>
      <c r="I167" s="170">
        <v>-242946.23</v>
      </c>
      <c r="J167" s="170"/>
      <c r="K167" s="170"/>
      <c r="L167" s="170"/>
      <c r="M167" s="170">
        <v>-242946.23</v>
      </c>
      <c r="N167" s="170"/>
      <c r="O167" s="170"/>
      <c r="P167" s="170"/>
      <c r="Q167" s="170"/>
      <c r="R167" s="170"/>
      <c r="S167" s="170"/>
      <c r="T167" s="170"/>
      <c r="U167" s="170"/>
      <c r="V167" s="170"/>
      <c r="W167" s="170"/>
      <c r="X167" s="170"/>
      <c r="Y167" s="170"/>
      <c r="Z167" s="170"/>
      <c r="AA167" s="170"/>
    </row>
    <row r="168" spans="1:27">
      <c r="A168" s="170" t="s">
        <v>181</v>
      </c>
      <c r="B168" s="170" t="s">
        <v>86</v>
      </c>
      <c r="C168" s="170" t="s">
        <v>222</v>
      </c>
      <c r="D168" s="170" t="s">
        <v>104</v>
      </c>
      <c r="E168" s="170" t="s">
        <v>91</v>
      </c>
      <c r="F168" s="170" t="s">
        <v>223</v>
      </c>
      <c r="G168" s="170" t="s">
        <v>224</v>
      </c>
      <c r="H168" s="170" t="s">
        <v>225</v>
      </c>
      <c r="I168" s="170">
        <v>-58315</v>
      </c>
      <c r="J168" s="170"/>
      <c r="K168" s="170"/>
      <c r="L168" s="170"/>
      <c r="M168" s="170"/>
      <c r="N168" s="170"/>
      <c r="O168" s="170"/>
      <c r="P168" s="170"/>
      <c r="Q168" s="170">
        <v>-58315</v>
      </c>
      <c r="R168" s="170"/>
      <c r="S168" s="170"/>
      <c r="T168" s="170"/>
      <c r="U168" s="170"/>
      <c r="V168" s="170"/>
      <c r="W168" s="170"/>
      <c r="X168" s="170"/>
      <c r="Y168" s="170"/>
      <c r="Z168" s="170"/>
      <c r="AA168" s="170"/>
    </row>
    <row r="169" spans="1:27">
      <c r="A169" s="185" t="s">
        <v>181</v>
      </c>
      <c r="B169" s="185" t="s">
        <v>86</v>
      </c>
      <c r="C169" s="185" t="s">
        <v>226</v>
      </c>
      <c r="D169" s="185" t="s">
        <v>104</v>
      </c>
      <c r="E169" s="185" t="s">
        <v>88</v>
      </c>
      <c r="F169" s="185" t="s">
        <v>223</v>
      </c>
      <c r="G169" s="185" t="s">
        <v>224</v>
      </c>
      <c r="H169" s="185" t="s">
        <v>225</v>
      </c>
      <c r="I169" s="185">
        <v>-31219</v>
      </c>
      <c r="J169" s="185"/>
      <c r="K169" s="185"/>
      <c r="L169" s="185"/>
      <c r="M169" s="185"/>
      <c r="N169" s="185"/>
      <c r="O169" s="185"/>
      <c r="P169" s="185"/>
      <c r="Q169" s="185"/>
      <c r="R169" s="185"/>
      <c r="S169" s="185"/>
      <c r="T169" s="185">
        <v>-31219</v>
      </c>
      <c r="U169" s="185"/>
      <c r="V169" s="185"/>
      <c r="W169" s="185"/>
      <c r="X169" s="185"/>
      <c r="Y169" s="185"/>
      <c r="Z169" s="185"/>
      <c r="AA169" s="185"/>
    </row>
    <row r="170" spans="1:27">
      <c r="A170" s="185" t="s">
        <v>181</v>
      </c>
      <c r="B170" s="185" t="s">
        <v>87</v>
      </c>
      <c r="C170" s="185" t="s">
        <v>213</v>
      </c>
      <c r="D170" s="185" t="s">
        <v>88</v>
      </c>
      <c r="E170" s="185" t="s">
        <v>104</v>
      </c>
      <c r="F170" s="185" t="s">
        <v>181</v>
      </c>
      <c r="G170" s="185" t="s">
        <v>217</v>
      </c>
      <c r="H170" s="185" t="s">
        <v>214</v>
      </c>
      <c r="I170" s="185">
        <v>114755</v>
      </c>
      <c r="J170" s="185"/>
      <c r="K170" s="185"/>
      <c r="L170" s="185"/>
      <c r="M170" s="185"/>
      <c r="N170" s="185"/>
      <c r="O170" s="185"/>
      <c r="P170" s="185"/>
      <c r="Q170" s="185"/>
      <c r="R170" s="185"/>
      <c r="S170" s="185"/>
      <c r="T170" s="185"/>
      <c r="U170" s="185">
        <v>114755</v>
      </c>
      <c r="V170" s="185"/>
      <c r="W170" s="185"/>
      <c r="X170" s="185"/>
      <c r="Y170" s="185"/>
      <c r="Z170" s="185"/>
      <c r="AA170" s="185"/>
    </row>
    <row r="171" spans="1:27">
      <c r="A171" s="185" t="s">
        <v>181</v>
      </c>
      <c r="B171" s="185" t="s">
        <v>87</v>
      </c>
      <c r="C171" s="185" t="s">
        <v>213</v>
      </c>
      <c r="D171" s="185" t="s">
        <v>88</v>
      </c>
      <c r="E171" s="185" t="s">
        <v>104</v>
      </c>
      <c r="F171" s="185" t="s">
        <v>181</v>
      </c>
      <c r="G171" s="185" t="s">
        <v>215</v>
      </c>
      <c r="H171" s="185" t="s">
        <v>216</v>
      </c>
      <c r="I171" s="185">
        <v>294113.99</v>
      </c>
      <c r="J171" s="185"/>
      <c r="K171" s="185"/>
      <c r="L171" s="185"/>
      <c r="M171" s="185"/>
      <c r="N171" s="185"/>
      <c r="O171" s="185"/>
      <c r="P171" s="185"/>
      <c r="Q171" s="185">
        <v>50000</v>
      </c>
      <c r="R171" s="185"/>
      <c r="S171" s="185"/>
      <c r="T171" s="185">
        <v>244113.99</v>
      </c>
      <c r="U171" s="185"/>
      <c r="V171" s="185"/>
      <c r="W171" s="185"/>
      <c r="X171" s="185"/>
      <c r="Y171" s="185"/>
      <c r="Z171" s="185"/>
      <c r="AA171" s="185"/>
    </row>
    <row r="172" spans="1:27">
      <c r="A172" s="185" t="s">
        <v>181</v>
      </c>
      <c r="B172" s="185" t="s">
        <v>87</v>
      </c>
      <c r="C172" s="185" t="s">
        <v>164</v>
      </c>
      <c r="D172" s="185" t="s">
        <v>91</v>
      </c>
      <c r="E172" s="185" t="s">
        <v>104</v>
      </c>
      <c r="F172" s="185" t="s">
        <v>175</v>
      </c>
      <c r="G172" s="185" t="s">
        <v>166</v>
      </c>
      <c r="H172" s="185" t="s">
        <v>167</v>
      </c>
      <c r="I172" s="185">
        <v>395617</v>
      </c>
      <c r="J172" s="185"/>
      <c r="K172" s="185"/>
      <c r="L172" s="185"/>
      <c r="M172" s="185"/>
      <c r="N172" s="185"/>
      <c r="O172" s="185"/>
      <c r="P172" s="185"/>
      <c r="Q172" s="185">
        <v>395617</v>
      </c>
      <c r="R172" s="185"/>
      <c r="S172" s="185"/>
      <c r="T172" s="185"/>
      <c r="U172" s="185"/>
      <c r="V172" s="185"/>
      <c r="W172" s="185"/>
      <c r="X172" s="185"/>
      <c r="Y172" s="185"/>
      <c r="Z172" s="185"/>
      <c r="AA172" s="185"/>
    </row>
    <row r="173" spans="1:27">
      <c r="A173" s="16" t="s">
        <v>227</v>
      </c>
      <c r="B173" s="16" t="s">
        <v>228</v>
      </c>
      <c r="C173" s="16" t="s">
        <v>229</v>
      </c>
      <c r="D173" s="16" t="s">
        <v>122</v>
      </c>
      <c r="E173" s="16" t="s">
        <v>104</v>
      </c>
      <c r="F173" s="16" t="s">
        <v>223</v>
      </c>
      <c r="G173" s="16" t="s">
        <v>230</v>
      </c>
      <c r="H173" s="16" t="s">
        <v>231</v>
      </c>
      <c r="I173" s="16">
        <v>351445</v>
      </c>
      <c r="T173" s="16">
        <v>351445</v>
      </c>
    </row>
    <row r="174" spans="1:27">
      <c r="A174" s="16" t="s">
        <v>227</v>
      </c>
      <c r="B174" s="16" t="s">
        <v>86</v>
      </c>
      <c r="C174" s="16" t="s">
        <v>246</v>
      </c>
      <c r="D174" s="16" t="s">
        <v>104</v>
      </c>
      <c r="E174" s="16" t="s">
        <v>88</v>
      </c>
      <c r="F174" s="16" t="s">
        <v>223</v>
      </c>
      <c r="G174" s="16" t="s">
        <v>247</v>
      </c>
      <c r="H174" s="16" t="s">
        <v>125</v>
      </c>
      <c r="I174" s="16">
        <v>-242946</v>
      </c>
      <c r="M174" s="16">
        <v>-242946</v>
      </c>
    </row>
    <row r="175" spans="1:27">
      <c r="A175" s="189" t="s">
        <v>227</v>
      </c>
      <c r="B175" s="189" t="s">
        <v>86</v>
      </c>
      <c r="C175" s="189" t="s">
        <v>248</v>
      </c>
      <c r="D175" s="189" t="s">
        <v>104</v>
      </c>
      <c r="E175" s="189" t="s">
        <v>88</v>
      </c>
      <c r="F175" s="189" t="s">
        <v>223</v>
      </c>
      <c r="G175" s="189" t="s">
        <v>249</v>
      </c>
      <c r="H175" s="189" t="s">
        <v>250</v>
      </c>
      <c r="I175" s="189">
        <v>-1249</v>
      </c>
      <c r="J175" s="189"/>
      <c r="K175" s="189"/>
      <c r="L175" s="189"/>
      <c r="M175" s="189"/>
      <c r="N175" s="189"/>
      <c r="O175" s="189"/>
      <c r="P175" s="189"/>
      <c r="Q175" s="189"/>
      <c r="R175" s="189"/>
      <c r="S175" s="189"/>
      <c r="T175" s="189">
        <v>-1249</v>
      </c>
      <c r="U175" s="189"/>
      <c r="V175" s="189"/>
      <c r="W175" s="189"/>
      <c r="X175" s="189"/>
      <c r="Y175" s="189"/>
      <c r="Z175" s="189"/>
      <c r="AA175" s="189"/>
    </row>
    <row r="176" spans="1:27">
      <c r="A176" s="189" t="s">
        <v>227</v>
      </c>
      <c r="B176" s="189" t="s">
        <v>86</v>
      </c>
      <c r="C176" s="189" t="s">
        <v>251</v>
      </c>
      <c r="D176" s="189" t="s">
        <v>104</v>
      </c>
      <c r="E176" s="189" t="s">
        <v>88</v>
      </c>
      <c r="F176" s="189" t="s">
        <v>223</v>
      </c>
      <c r="G176" s="189" t="s">
        <v>252</v>
      </c>
      <c r="H176" s="189" t="s">
        <v>250</v>
      </c>
      <c r="I176" s="189">
        <v>-180230.5</v>
      </c>
      <c r="J176" s="189"/>
      <c r="K176" s="189"/>
      <c r="L176" s="189"/>
      <c r="M176" s="189"/>
      <c r="N176" s="189"/>
      <c r="O176" s="189"/>
      <c r="P176" s="189"/>
      <c r="Q176" s="189"/>
      <c r="R176" s="189"/>
      <c r="S176" s="189"/>
      <c r="T176" s="189"/>
      <c r="U176" s="189">
        <v>-180230.5</v>
      </c>
      <c r="V176" s="189"/>
      <c r="W176" s="189"/>
      <c r="X176" s="189"/>
      <c r="Y176" s="189"/>
      <c r="Z176" s="189"/>
      <c r="AA176" s="189"/>
    </row>
    <row r="177" spans="1:27">
      <c r="A177" s="189" t="s">
        <v>227</v>
      </c>
      <c r="B177" s="189" t="s">
        <v>87</v>
      </c>
      <c r="C177" s="189" t="s">
        <v>233</v>
      </c>
      <c r="D177" s="189" t="s">
        <v>88</v>
      </c>
      <c r="E177" s="189" t="s">
        <v>104</v>
      </c>
      <c r="F177" s="189" t="s">
        <v>227</v>
      </c>
      <c r="G177" s="189" t="s">
        <v>234</v>
      </c>
      <c r="H177" s="189" t="s">
        <v>235</v>
      </c>
      <c r="I177" s="189">
        <v>244265</v>
      </c>
      <c r="J177" s="189"/>
      <c r="K177" s="189"/>
      <c r="L177" s="189"/>
      <c r="M177" s="189"/>
      <c r="N177" s="189"/>
      <c r="O177" s="189"/>
      <c r="P177" s="189"/>
      <c r="Q177" s="189"/>
      <c r="R177" s="189"/>
      <c r="S177" s="189"/>
      <c r="T177" s="189"/>
      <c r="U177" s="189">
        <v>244265</v>
      </c>
      <c r="V177" s="189"/>
      <c r="W177" s="189"/>
      <c r="X177" s="189"/>
      <c r="Y177" s="189"/>
      <c r="Z177" s="189"/>
      <c r="AA177" s="189"/>
    </row>
    <row r="178" spans="1:27">
      <c r="A178" s="189" t="s">
        <v>227</v>
      </c>
      <c r="B178" s="189" t="s">
        <v>87</v>
      </c>
      <c r="C178" s="189" t="s">
        <v>236</v>
      </c>
      <c r="D178" s="189" t="s">
        <v>88</v>
      </c>
      <c r="E178" s="189" t="s">
        <v>104</v>
      </c>
      <c r="F178" s="189" t="s">
        <v>227</v>
      </c>
      <c r="G178" s="189" t="s">
        <v>234</v>
      </c>
      <c r="H178" s="189" t="s">
        <v>235</v>
      </c>
      <c r="I178" s="189">
        <v>242946.23</v>
      </c>
      <c r="J178" s="189"/>
      <c r="K178" s="189"/>
      <c r="L178" s="189"/>
      <c r="M178" s="189">
        <v>242946.23</v>
      </c>
      <c r="N178" s="189"/>
      <c r="O178" s="189"/>
      <c r="P178" s="189"/>
      <c r="Q178" s="189"/>
      <c r="R178" s="189"/>
      <c r="S178" s="189"/>
      <c r="T178" s="189"/>
      <c r="U178" s="189"/>
      <c r="V178" s="189"/>
      <c r="W178" s="189"/>
      <c r="X178" s="189"/>
      <c r="Y178" s="189"/>
      <c r="Z178" s="189"/>
      <c r="AA178" s="189"/>
    </row>
    <row r="179" spans="1:27">
      <c r="A179" s="198" t="s">
        <v>227</v>
      </c>
      <c r="B179" s="198" t="s">
        <v>109</v>
      </c>
      <c r="C179" s="198" t="s">
        <v>254</v>
      </c>
      <c r="D179" s="198" t="s">
        <v>88</v>
      </c>
      <c r="E179" s="198" t="s">
        <v>104</v>
      </c>
      <c r="F179" s="198" t="s">
        <v>227</v>
      </c>
      <c r="G179" s="198" t="s">
        <v>255</v>
      </c>
      <c r="H179" s="198" t="s">
        <v>170</v>
      </c>
      <c r="I179" s="198">
        <v>405000</v>
      </c>
      <c r="J179" s="198"/>
      <c r="K179" s="198"/>
      <c r="L179" s="198">
        <v>405000</v>
      </c>
      <c r="M179" s="198"/>
      <c r="N179" s="198"/>
      <c r="O179" s="198"/>
      <c r="P179" s="198"/>
      <c r="Q179" s="198"/>
      <c r="R179" s="198"/>
      <c r="S179" s="198"/>
      <c r="T179" s="198"/>
      <c r="U179" s="198"/>
      <c r="V179" s="198"/>
      <c r="W179" s="198"/>
      <c r="X179" s="198"/>
      <c r="Y179" s="198"/>
      <c r="Z179" s="198"/>
      <c r="AA179" s="198"/>
    </row>
    <row r="180" spans="1:27">
      <c r="A180" s="198" t="s">
        <v>227</v>
      </c>
      <c r="B180" s="198" t="s">
        <v>99</v>
      </c>
      <c r="C180" s="198" t="s">
        <v>254</v>
      </c>
      <c r="D180" s="198" t="s">
        <v>104</v>
      </c>
      <c r="E180" s="198" t="s">
        <v>88</v>
      </c>
      <c r="F180" s="198" t="s">
        <v>227</v>
      </c>
      <c r="G180" s="198" t="s">
        <v>255</v>
      </c>
      <c r="H180" s="198" t="s">
        <v>256</v>
      </c>
      <c r="I180" s="198">
        <v>-450000</v>
      </c>
      <c r="J180" s="198"/>
      <c r="K180" s="198"/>
      <c r="L180" s="198"/>
      <c r="M180" s="198"/>
      <c r="N180" s="198"/>
      <c r="O180" s="198"/>
      <c r="P180" s="198"/>
      <c r="Q180" s="198"/>
      <c r="R180" s="198"/>
      <c r="S180" s="198"/>
      <c r="T180" s="198">
        <v>-450000</v>
      </c>
      <c r="U180" s="198"/>
      <c r="V180" s="198"/>
      <c r="W180" s="198"/>
      <c r="X180" s="198"/>
      <c r="Y180" s="198"/>
      <c r="Z180" s="198"/>
      <c r="AA180" s="198"/>
    </row>
    <row r="181" spans="1:27">
      <c r="A181" s="198" t="s">
        <v>223</v>
      </c>
      <c r="B181" s="198" t="s">
        <v>228</v>
      </c>
      <c r="C181" s="198" t="s">
        <v>270</v>
      </c>
      <c r="D181" s="198" t="s">
        <v>88</v>
      </c>
      <c r="E181" s="198" t="s">
        <v>104</v>
      </c>
      <c r="F181" s="198" t="s">
        <v>243</v>
      </c>
      <c r="G181" s="198" t="s">
        <v>271</v>
      </c>
      <c r="H181" s="198" t="s">
        <v>272</v>
      </c>
      <c r="I181" s="198">
        <v>257054</v>
      </c>
      <c r="J181" s="198"/>
      <c r="K181" s="198"/>
      <c r="L181" s="198"/>
      <c r="M181" s="198"/>
      <c r="N181" s="198"/>
      <c r="O181" s="198"/>
      <c r="P181" s="198"/>
      <c r="Q181" s="198">
        <v>257054</v>
      </c>
      <c r="R181" s="198"/>
      <c r="S181" s="198"/>
      <c r="T181" s="198"/>
      <c r="U181" s="198"/>
      <c r="V181" s="198"/>
      <c r="W181" s="198"/>
      <c r="X181" s="198"/>
      <c r="Y181" s="198"/>
      <c r="Z181" s="198"/>
      <c r="AA181" s="198"/>
    </row>
    <row r="182" spans="1:27">
      <c r="A182" s="198" t="s">
        <v>223</v>
      </c>
      <c r="B182" s="198" t="s">
        <v>86</v>
      </c>
      <c r="C182" s="198" t="s">
        <v>277</v>
      </c>
      <c r="D182" s="198" t="s">
        <v>104</v>
      </c>
      <c r="E182" s="198" t="s">
        <v>88</v>
      </c>
      <c r="F182" s="198" t="s">
        <v>243</v>
      </c>
      <c r="G182" s="198" t="s">
        <v>271</v>
      </c>
      <c r="H182" s="198" t="s">
        <v>278</v>
      </c>
      <c r="I182" s="198">
        <v>-500000.35</v>
      </c>
      <c r="J182" s="198"/>
      <c r="K182" s="198"/>
      <c r="L182" s="198"/>
      <c r="M182" s="198"/>
      <c r="N182" s="198"/>
      <c r="O182" s="198"/>
      <c r="P182" s="198"/>
      <c r="Q182" s="198">
        <v>-500000.35</v>
      </c>
      <c r="R182" s="198"/>
      <c r="S182" s="198"/>
      <c r="T182" s="198"/>
      <c r="U182" s="198"/>
      <c r="V182" s="198"/>
      <c r="W182" s="198"/>
      <c r="X182" s="198"/>
      <c r="Y182" s="198"/>
      <c r="Z182" s="198"/>
      <c r="AA182" s="198"/>
    </row>
    <row r="183" spans="1:27">
      <c r="A183" s="198" t="s">
        <v>223</v>
      </c>
      <c r="B183" s="198" t="s">
        <v>86</v>
      </c>
      <c r="C183" s="198" t="s">
        <v>279</v>
      </c>
      <c r="D183" s="198" t="s">
        <v>104</v>
      </c>
      <c r="E183" s="198" t="s">
        <v>88</v>
      </c>
      <c r="F183" s="198" t="s">
        <v>243</v>
      </c>
      <c r="G183" s="198" t="s">
        <v>280</v>
      </c>
      <c r="H183" s="198" t="s">
        <v>284</v>
      </c>
      <c r="I183" s="198">
        <v>-215455</v>
      </c>
      <c r="J183" s="198"/>
      <c r="K183" s="198"/>
      <c r="L183" s="198"/>
      <c r="M183" s="198"/>
      <c r="N183" s="198"/>
      <c r="O183" s="198"/>
      <c r="P183" s="198"/>
      <c r="Q183" s="198"/>
      <c r="R183" s="198"/>
      <c r="S183" s="198"/>
      <c r="T183" s="198"/>
      <c r="U183" s="198">
        <v>-215455</v>
      </c>
      <c r="V183" s="198"/>
      <c r="W183" s="198"/>
      <c r="X183" s="198"/>
      <c r="Y183" s="198"/>
      <c r="Z183" s="198"/>
      <c r="AA183" s="198"/>
    </row>
    <row r="184" spans="1:27">
      <c r="A184" s="198" t="s">
        <v>223</v>
      </c>
      <c r="B184" s="198" t="s">
        <v>86</v>
      </c>
      <c r="C184" s="198" t="s">
        <v>241</v>
      </c>
      <c r="D184" s="198" t="s">
        <v>104</v>
      </c>
      <c r="E184" s="198" t="s">
        <v>242</v>
      </c>
      <c r="F184" s="198" t="s">
        <v>243</v>
      </c>
      <c r="G184" s="198" t="s">
        <v>244</v>
      </c>
      <c r="H184" s="198" t="s">
        <v>245</v>
      </c>
      <c r="I184" s="198">
        <v>-104359</v>
      </c>
      <c r="J184" s="198"/>
      <c r="K184" s="198"/>
      <c r="L184" s="198"/>
      <c r="M184" s="198"/>
      <c r="N184" s="198"/>
      <c r="O184" s="198"/>
      <c r="P184" s="198"/>
      <c r="Q184" s="198"/>
      <c r="R184" s="198"/>
      <c r="S184" s="198"/>
      <c r="T184" s="198">
        <v>-104359</v>
      </c>
      <c r="U184" s="198"/>
      <c r="V184" s="198"/>
      <c r="W184" s="198"/>
      <c r="X184" s="198"/>
      <c r="Y184" s="198"/>
      <c r="Z184" s="198"/>
      <c r="AA184" s="198"/>
    </row>
    <row r="185" spans="1:27">
      <c r="A185" s="198" t="s">
        <v>223</v>
      </c>
      <c r="B185" s="198" t="s">
        <v>87</v>
      </c>
      <c r="C185" s="198" t="s">
        <v>246</v>
      </c>
      <c r="D185" s="198" t="s">
        <v>88</v>
      </c>
      <c r="E185" s="198" t="s">
        <v>104</v>
      </c>
      <c r="F185" s="198" t="s">
        <v>223</v>
      </c>
      <c r="G185" s="198" t="s">
        <v>247</v>
      </c>
      <c r="H185" s="198" t="s">
        <v>125</v>
      </c>
      <c r="I185" s="198">
        <v>242946</v>
      </c>
      <c r="J185" s="198"/>
      <c r="K185" s="198"/>
      <c r="L185" s="198"/>
      <c r="M185" s="198">
        <v>242946</v>
      </c>
      <c r="N185" s="198"/>
      <c r="O185" s="198"/>
      <c r="P185" s="198"/>
      <c r="Q185" s="198"/>
      <c r="R185" s="198"/>
      <c r="S185" s="198"/>
      <c r="T185" s="198"/>
      <c r="U185" s="198"/>
      <c r="V185" s="198"/>
      <c r="W185" s="198"/>
      <c r="X185" s="198"/>
      <c r="Y185" s="198"/>
      <c r="Z185" s="198"/>
      <c r="AA185" s="198"/>
    </row>
    <row r="186" spans="1:27">
      <c r="A186" s="198" t="s">
        <v>223</v>
      </c>
      <c r="B186" s="198" t="s">
        <v>87</v>
      </c>
      <c r="C186" s="198" t="s">
        <v>248</v>
      </c>
      <c r="D186" s="198" t="s">
        <v>88</v>
      </c>
      <c r="E186" s="198" t="s">
        <v>104</v>
      </c>
      <c r="F186" s="198" t="s">
        <v>223</v>
      </c>
      <c r="G186" s="198" t="s">
        <v>249</v>
      </c>
      <c r="H186" s="198" t="s">
        <v>250</v>
      </c>
      <c r="I186" s="198">
        <v>1249</v>
      </c>
      <c r="J186" s="198"/>
      <c r="K186" s="198"/>
      <c r="L186" s="198"/>
      <c r="M186" s="198"/>
      <c r="N186" s="198"/>
      <c r="O186" s="198"/>
      <c r="P186" s="198"/>
      <c r="Q186" s="198"/>
      <c r="R186" s="198"/>
      <c r="S186" s="198"/>
      <c r="T186" s="198">
        <v>1249</v>
      </c>
      <c r="U186" s="198"/>
      <c r="V186" s="198"/>
      <c r="W186" s="198"/>
      <c r="X186" s="198"/>
      <c r="Y186" s="198"/>
      <c r="Z186" s="198"/>
      <c r="AA186" s="198"/>
    </row>
    <row r="187" spans="1:27">
      <c r="A187" s="16" t="s">
        <v>223</v>
      </c>
      <c r="B187" s="16" t="s">
        <v>87</v>
      </c>
      <c r="C187" s="16" t="s">
        <v>251</v>
      </c>
      <c r="D187" s="16" t="s">
        <v>88</v>
      </c>
      <c r="E187" s="16" t="s">
        <v>104</v>
      </c>
      <c r="F187" s="16" t="s">
        <v>223</v>
      </c>
      <c r="G187" s="16" t="s">
        <v>252</v>
      </c>
      <c r="H187" s="16" t="s">
        <v>250</v>
      </c>
      <c r="I187" s="16">
        <v>180230.5</v>
      </c>
      <c r="U187" s="16">
        <v>180230.5</v>
      </c>
    </row>
    <row r="188" spans="1:27">
      <c r="A188" s="16" t="s">
        <v>223</v>
      </c>
      <c r="B188" s="16" t="s">
        <v>87</v>
      </c>
      <c r="C188" s="16" t="s">
        <v>222</v>
      </c>
      <c r="D188" s="16" t="s">
        <v>104</v>
      </c>
      <c r="E188" s="16" t="s">
        <v>91</v>
      </c>
      <c r="F188" s="16" t="s">
        <v>223</v>
      </c>
      <c r="G188" s="16" t="s">
        <v>224</v>
      </c>
      <c r="H188" s="16" t="s">
        <v>225</v>
      </c>
      <c r="I188" s="16">
        <v>58315</v>
      </c>
      <c r="Q188" s="16">
        <v>58315</v>
      </c>
    </row>
    <row r="189" spans="1:27">
      <c r="A189" s="201" t="s">
        <v>223</v>
      </c>
      <c r="B189" s="201" t="s">
        <v>87</v>
      </c>
      <c r="C189" s="201" t="s">
        <v>226</v>
      </c>
      <c r="D189" s="201" t="s">
        <v>88</v>
      </c>
      <c r="E189" s="201" t="s">
        <v>104</v>
      </c>
      <c r="F189" s="201" t="s">
        <v>223</v>
      </c>
      <c r="G189" s="201" t="s">
        <v>224</v>
      </c>
      <c r="H189" s="201" t="s">
        <v>225</v>
      </c>
      <c r="I189" s="201">
        <v>31219</v>
      </c>
      <c r="J189" s="201"/>
      <c r="K189" s="201"/>
      <c r="L189" s="201"/>
      <c r="M189" s="201"/>
      <c r="N189" s="201"/>
      <c r="O189" s="201"/>
      <c r="P189" s="201"/>
      <c r="Q189" s="201"/>
      <c r="R189" s="201"/>
      <c r="S189" s="201"/>
      <c r="T189" s="201">
        <v>31219</v>
      </c>
      <c r="U189" s="201"/>
      <c r="V189" s="201"/>
      <c r="W189" s="201"/>
      <c r="X189" s="201"/>
      <c r="Y189" s="201"/>
      <c r="Z189" s="201"/>
      <c r="AA189" s="201"/>
    </row>
    <row r="190" spans="1:27">
      <c r="A190" s="201" t="s">
        <v>223</v>
      </c>
      <c r="B190" s="201" t="s">
        <v>232</v>
      </c>
      <c r="C190" s="201" t="s">
        <v>229</v>
      </c>
      <c r="D190" s="201" t="s">
        <v>104</v>
      </c>
      <c r="E190" s="201" t="s">
        <v>122</v>
      </c>
      <c r="F190" s="201" t="s">
        <v>223</v>
      </c>
      <c r="G190" s="201" t="s">
        <v>230</v>
      </c>
      <c r="H190" s="201" t="s">
        <v>231</v>
      </c>
      <c r="I190" s="201">
        <v>-351445</v>
      </c>
      <c r="J190" s="201"/>
      <c r="K190" s="201"/>
      <c r="L190" s="201"/>
      <c r="M190" s="201"/>
      <c r="N190" s="201"/>
      <c r="O190" s="201"/>
      <c r="P190" s="201"/>
      <c r="Q190" s="201"/>
      <c r="R190" s="201"/>
      <c r="S190" s="201"/>
      <c r="T190" s="201">
        <v>-351445</v>
      </c>
      <c r="U190" s="201"/>
      <c r="V190" s="201"/>
      <c r="W190" s="201"/>
      <c r="X190" s="201"/>
      <c r="Y190" s="201"/>
      <c r="Z190" s="201"/>
      <c r="AA190" s="201"/>
    </row>
    <row r="191" spans="1:27">
      <c r="A191" s="201" t="s">
        <v>223</v>
      </c>
      <c r="B191" s="201" t="s">
        <v>109</v>
      </c>
      <c r="C191" s="201" t="s">
        <v>273</v>
      </c>
      <c r="D191" s="201" t="s">
        <v>88</v>
      </c>
      <c r="E191" s="201" t="s">
        <v>104</v>
      </c>
      <c r="F191" s="201" t="s">
        <v>223</v>
      </c>
      <c r="G191" s="201" t="s">
        <v>271</v>
      </c>
      <c r="H191" s="201" t="s">
        <v>274</v>
      </c>
      <c r="I191" s="201">
        <v>242946</v>
      </c>
      <c r="J191" s="201"/>
      <c r="K191" s="201"/>
      <c r="L191" s="201"/>
      <c r="M191" s="201"/>
      <c r="N191" s="201"/>
      <c r="O191" s="201"/>
      <c r="P191" s="201"/>
      <c r="Q191" s="201">
        <v>242946</v>
      </c>
      <c r="R191" s="201"/>
      <c r="S191" s="201"/>
      <c r="T191" s="201"/>
      <c r="U191" s="201"/>
      <c r="V191" s="201"/>
      <c r="W191" s="201"/>
      <c r="X191" s="201"/>
      <c r="Y191" s="201"/>
      <c r="Z191" s="201"/>
      <c r="AA191" s="201"/>
    </row>
    <row r="192" spans="1:27">
      <c r="A192" s="201" t="s">
        <v>223</v>
      </c>
      <c r="B192" s="201" t="s">
        <v>99</v>
      </c>
      <c r="C192" s="201" t="s">
        <v>275</v>
      </c>
      <c r="D192" s="201" t="s">
        <v>104</v>
      </c>
      <c r="E192" s="201" t="s">
        <v>88</v>
      </c>
      <c r="F192" s="201" t="s">
        <v>223</v>
      </c>
      <c r="G192" s="201" t="s">
        <v>271</v>
      </c>
      <c r="H192" s="201" t="s">
        <v>276</v>
      </c>
      <c r="I192" s="201">
        <v>-242946</v>
      </c>
      <c r="J192" s="201"/>
      <c r="K192" s="201"/>
      <c r="L192" s="201"/>
      <c r="M192" s="201">
        <v>-242946</v>
      </c>
      <c r="N192" s="201"/>
      <c r="O192" s="201"/>
      <c r="P192" s="201"/>
      <c r="Q192" s="201"/>
      <c r="R192" s="201"/>
      <c r="S192" s="201"/>
      <c r="T192" s="201"/>
      <c r="U192" s="201"/>
      <c r="V192" s="201"/>
      <c r="W192" s="201"/>
      <c r="X192" s="201"/>
      <c r="Y192" s="201"/>
      <c r="Z192" s="201"/>
      <c r="AA192" s="201"/>
    </row>
    <row r="193" spans="1:27">
      <c r="A193" s="202" t="s">
        <v>243</v>
      </c>
      <c r="B193" s="202" t="s">
        <v>86</v>
      </c>
      <c r="C193" s="202" t="s">
        <v>301</v>
      </c>
      <c r="D193" s="202" t="s">
        <v>104</v>
      </c>
      <c r="E193" s="202" t="s">
        <v>91</v>
      </c>
      <c r="F193" s="202" t="s">
        <v>302</v>
      </c>
      <c r="G193" s="202" t="s">
        <v>303</v>
      </c>
      <c r="H193" s="202" t="s">
        <v>304</v>
      </c>
      <c r="I193" s="202">
        <v>-103345</v>
      </c>
      <c r="J193" s="202"/>
      <c r="K193" s="202"/>
      <c r="L193" s="202"/>
      <c r="M193" s="202"/>
      <c r="N193" s="202"/>
      <c r="O193" s="202"/>
      <c r="P193" s="202"/>
      <c r="Q193" s="202"/>
      <c r="R193" s="202"/>
      <c r="S193" s="202"/>
      <c r="T193" s="202">
        <v>-103345</v>
      </c>
      <c r="U193" s="202"/>
      <c r="V193" s="202"/>
      <c r="W193" s="202"/>
      <c r="X193" s="202"/>
      <c r="Y193" s="202"/>
      <c r="Z193" s="202"/>
      <c r="AA193" s="202"/>
    </row>
    <row r="194" spans="1:27">
      <c r="A194" s="202" t="s">
        <v>243</v>
      </c>
      <c r="B194" s="202" t="s">
        <v>87</v>
      </c>
      <c r="C194" s="16" t="s">
        <v>277</v>
      </c>
      <c r="D194" s="202" t="s">
        <v>88</v>
      </c>
      <c r="E194" s="202" t="s">
        <v>104</v>
      </c>
      <c r="F194" s="202" t="s">
        <v>243</v>
      </c>
      <c r="G194" s="202" t="s">
        <v>271</v>
      </c>
      <c r="H194" s="202" t="s">
        <v>278</v>
      </c>
      <c r="I194" s="202">
        <v>500000.35</v>
      </c>
      <c r="J194" s="202"/>
      <c r="K194" s="202"/>
      <c r="L194" s="202"/>
      <c r="M194" s="202"/>
      <c r="N194" s="202"/>
      <c r="O194" s="202"/>
      <c r="P194" s="202"/>
      <c r="Q194" s="202">
        <v>500000.35</v>
      </c>
      <c r="R194" s="202"/>
      <c r="S194" s="202"/>
      <c r="T194" s="202"/>
      <c r="U194" s="202"/>
      <c r="V194" s="202"/>
      <c r="W194" s="202"/>
      <c r="X194" s="202"/>
      <c r="Y194" s="202"/>
      <c r="Z194" s="202"/>
      <c r="AA194" s="202"/>
    </row>
    <row r="195" spans="1:27">
      <c r="A195" s="202" t="s">
        <v>243</v>
      </c>
      <c r="B195" s="202" t="s">
        <v>87</v>
      </c>
      <c r="C195" s="202" t="s">
        <v>279</v>
      </c>
      <c r="D195" s="202" t="s">
        <v>88</v>
      </c>
      <c r="E195" s="202" t="s">
        <v>104</v>
      </c>
      <c r="F195" s="202" t="s">
        <v>243</v>
      </c>
      <c r="G195" s="202" t="s">
        <v>280</v>
      </c>
      <c r="H195" s="202" t="s">
        <v>284</v>
      </c>
      <c r="I195" s="202">
        <v>215455</v>
      </c>
      <c r="J195" s="202"/>
      <c r="K195" s="202"/>
      <c r="L195" s="202"/>
      <c r="M195" s="202"/>
      <c r="N195" s="202"/>
      <c r="O195" s="202"/>
      <c r="P195" s="202"/>
      <c r="Q195" s="202"/>
      <c r="R195" s="202"/>
      <c r="S195" s="202"/>
      <c r="T195" s="202"/>
      <c r="U195" s="202">
        <v>215455</v>
      </c>
      <c r="V195" s="202"/>
      <c r="W195" s="202"/>
      <c r="X195" s="202"/>
      <c r="Y195" s="202"/>
      <c r="Z195" s="202"/>
      <c r="AA195" s="202"/>
    </row>
    <row r="196" spans="1:27">
      <c r="A196" s="202" t="s">
        <v>243</v>
      </c>
      <c r="B196" s="202" t="s">
        <v>87</v>
      </c>
      <c r="C196" s="202" t="s">
        <v>241</v>
      </c>
      <c r="D196" s="202" t="s">
        <v>242</v>
      </c>
      <c r="E196" s="202" t="s">
        <v>104</v>
      </c>
      <c r="F196" s="202" t="s">
        <v>243</v>
      </c>
      <c r="G196" s="202" t="s">
        <v>244</v>
      </c>
      <c r="H196" s="202" t="s">
        <v>245</v>
      </c>
      <c r="I196" s="202">
        <v>104359</v>
      </c>
      <c r="J196" s="202"/>
      <c r="K196" s="202"/>
      <c r="L196" s="202"/>
      <c r="M196" s="202"/>
      <c r="N196" s="202"/>
      <c r="O196" s="202"/>
      <c r="P196" s="202"/>
      <c r="Q196" s="202"/>
      <c r="R196" s="202"/>
      <c r="S196" s="202"/>
      <c r="T196" s="202">
        <v>104359</v>
      </c>
      <c r="U196" s="202"/>
      <c r="V196" s="202"/>
      <c r="W196" s="202"/>
      <c r="X196" s="202"/>
      <c r="Y196" s="202"/>
      <c r="Z196" s="202"/>
      <c r="AA196" s="202"/>
    </row>
    <row r="197" spans="1:27">
      <c r="A197" s="204" t="s">
        <v>243</v>
      </c>
      <c r="B197" s="204" t="s">
        <v>232</v>
      </c>
      <c r="C197" s="204" t="s">
        <v>270</v>
      </c>
      <c r="D197" s="204" t="s">
        <v>104</v>
      </c>
      <c r="E197" s="204" t="s">
        <v>88</v>
      </c>
      <c r="F197" s="204" t="s">
        <v>243</v>
      </c>
      <c r="G197" s="204" t="s">
        <v>271</v>
      </c>
      <c r="H197" s="204" t="s">
        <v>272</v>
      </c>
      <c r="I197" s="204">
        <v>-257054</v>
      </c>
      <c r="J197" s="204"/>
      <c r="K197" s="204"/>
      <c r="L197" s="204"/>
      <c r="M197" s="204"/>
      <c r="N197" s="204"/>
      <c r="O197" s="204"/>
      <c r="P197" s="204"/>
      <c r="Q197" s="204">
        <v>-257054</v>
      </c>
      <c r="R197" s="204"/>
      <c r="S197" s="204"/>
      <c r="T197" s="204"/>
      <c r="U197" s="204"/>
      <c r="V197" s="204"/>
      <c r="W197" s="204"/>
      <c r="X197" s="204"/>
      <c r="Y197" s="204"/>
      <c r="Z197" s="204"/>
      <c r="AA197" s="204"/>
    </row>
    <row r="198" spans="1:27">
      <c r="A198" s="204" t="s">
        <v>302</v>
      </c>
      <c r="B198" s="204" t="s">
        <v>87</v>
      </c>
      <c r="C198" s="204" t="s">
        <v>301</v>
      </c>
      <c r="D198" s="204" t="s">
        <v>91</v>
      </c>
      <c r="E198" s="204" t="s">
        <v>104</v>
      </c>
      <c r="F198" s="204" t="s">
        <v>302</v>
      </c>
      <c r="G198" s="204" t="s">
        <v>303</v>
      </c>
      <c r="H198" s="204" t="s">
        <v>304</v>
      </c>
      <c r="I198" s="204">
        <v>103345</v>
      </c>
      <c r="J198" s="204"/>
      <c r="K198" s="204"/>
      <c r="L198" s="204"/>
      <c r="M198" s="204"/>
      <c r="N198" s="204"/>
      <c r="O198" s="204"/>
      <c r="P198" s="204"/>
      <c r="Q198" s="204"/>
      <c r="R198" s="204"/>
      <c r="S198" s="204"/>
      <c r="T198" s="204">
        <v>103345</v>
      </c>
      <c r="U198" s="204"/>
      <c r="V198" s="204"/>
      <c r="W198" s="204"/>
      <c r="X198" s="204"/>
      <c r="Y198" s="204"/>
      <c r="Z198" s="204"/>
      <c r="AA198" s="204"/>
    </row>
  </sheetData>
  <mergeCells count="5">
    <mergeCell ref="A1:F1"/>
    <mergeCell ref="A3:F3"/>
    <mergeCell ref="A9:G9"/>
    <mergeCell ref="A7:H7"/>
    <mergeCell ref="A105:G105"/>
  </mergeCells>
  <pageMargins left="0.7" right="0.7" top="0.75" bottom="0.75" header="0.3" footer="0.3"/>
  <pageSetup paperSize="17" scale="26"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5"/>
  <sheetViews>
    <sheetView topLeftCell="A5" zoomScaleNormal="100" workbookViewId="0">
      <selection activeCell="B18" sqref="B18"/>
    </sheetView>
  </sheetViews>
  <sheetFormatPr defaultRowHeight="14.4"/>
  <cols>
    <col min="1" max="1" width="9.109375" style="1"/>
    <col min="2" max="2" width="20.6640625" customWidth="1"/>
    <col min="3" max="3" width="37.44140625" customWidth="1"/>
    <col min="4" max="4" width="15.6640625" customWidth="1"/>
    <col min="5" max="5" width="18.33203125" customWidth="1"/>
  </cols>
  <sheetData>
    <row r="1" spans="1:5">
      <c r="A1" s="4" t="s">
        <v>13</v>
      </c>
      <c r="B1" s="224" t="s">
        <v>14</v>
      </c>
      <c r="C1" s="224"/>
      <c r="D1" s="224"/>
      <c r="E1" s="224"/>
    </row>
    <row r="2" spans="1:5" ht="81.75" customHeight="1">
      <c r="A2" s="1">
        <v>1</v>
      </c>
      <c r="B2" s="223" t="s">
        <v>16</v>
      </c>
      <c r="C2" s="223"/>
      <c r="D2" s="223"/>
      <c r="E2" s="223"/>
    </row>
    <row r="3" spans="1:5">
      <c r="B3" s="3"/>
      <c r="C3" s="3"/>
      <c r="D3" s="3"/>
      <c r="E3" s="3"/>
    </row>
    <row r="4" spans="1:5" ht="33" customHeight="1">
      <c r="A4" s="1">
        <v>2</v>
      </c>
      <c r="B4" s="223" t="s">
        <v>196</v>
      </c>
      <c r="C4" s="223"/>
      <c r="D4" s="223"/>
      <c r="E4" s="223"/>
    </row>
    <row r="5" spans="1:5">
      <c r="B5" s="3"/>
      <c r="C5" s="3"/>
      <c r="D5" s="3"/>
      <c r="E5" s="3"/>
    </row>
    <row r="6" spans="1:5" ht="33.75" customHeight="1">
      <c r="A6" s="1">
        <v>3</v>
      </c>
      <c r="B6" s="223" t="s">
        <v>198</v>
      </c>
      <c r="C6" s="223"/>
      <c r="D6" s="223"/>
      <c r="E6" s="223"/>
    </row>
    <row r="7" spans="1:5">
      <c r="B7" s="3"/>
      <c r="C7" s="3"/>
      <c r="D7" s="3"/>
      <c r="E7" s="3"/>
    </row>
    <row r="8" spans="1:5" ht="18" customHeight="1">
      <c r="A8" s="1">
        <v>4</v>
      </c>
      <c r="B8" s="227" t="s">
        <v>219</v>
      </c>
      <c r="C8" s="227"/>
      <c r="D8" s="7"/>
      <c r="E8" s="7"/>
    </row>
    <row r="9" spans="1:5" ht="18" customHeight="1">
      <c r="B9" s="226" t="s">
        <v>293</v>
      </c>
      <c r="C9" s="226"/>
      <c r="D9" s="10">
        <v>125000</v>
      </c>
    </row>
    <row r="10" spans="1:5" ht="18" customHeight="1">
      <c r="B10" s="223" t="s">
        <v>294</v>
      </c>
      <c r="C10" s="223"/>
      <c r="D10" s="9">
        <v>-31250</v>
      </c>
      <c r="E10" s="107">
        <f>D10/$D$9</f>
        <v>-0.25</v>
      </c>
    </row>
    <row r="11" spans="1:5" ht="18" customHeight="1">
      <c r="B11" s="226" t="s">
        <v>295</v>
      </c>
      <c r="C11" s="226"/>
      <c r="D11" s="11">
        <f>+D9+D10</f>
        <v>93750</v>
      </c>
      <c r="E11" s="107">
        <f>D11/$D$9</f>
        <v>0.75</v>
      </c>
    </row>
    <row r="12" spans="1:5" ht="31.5" customHeight="1">
      <c r="B12" s="223" t="s">
        <v>296</v>
      </c>
      <c r="C12" s="223"/>
      <c r="D12" s="8">
        <v>31250</v>
      </c>
      <c r="E12" s="107">
        <f>D12/$D$9</f>
        <v>0.25</v>
      </c>
    </row>
    <row r="13" spans="1:5" ht="36.75" customHeight="1">
      <c r="B13" s="226" t="s">
        <v>297</v>
      </c>
      <c r="C13" s="226"/>
      <c r="D13" s="12">
        <f>SUM(D11:D12)</f>
        <v>125000</v>
      </c>
      <c r="E13" s="176"/>
    </row>
    <row r="14" spans="1:5" ht="18" customHeight="1">
      <c r="B14" s="3"/>
      <c r="C14" s="3"/>
      <c r="D14" s="14"/>
    </row>
    <row r="15" spans="1:5" ht="24.75" customHeight="1">
      <c r="A15" s="1">
        <v>5</v>
      </c>
      <c r="B15" s="225" t="s">
        <v>239</v>
      </c>
      <c r="C15" s="225"/>
      <c r="D15" s="225"/>
      <c r="E15" s="225"/>
    </row>
    <row r="16" spans="1:5">
      <c r="B16" s="3"/>
      <c r="C16" s="3"/>
      <c r="D16" s="3"/>
      <c r="E16" s="3"/>
    </row>
    <row r="17" spans="1:5" ht="30" customHeight="1">
      <c r="A17" s="1">
        <v>6</v>
      </c>
      <c r="B17" s="220" t="s">
        <v>307</v>
      </c>
      <c r="C17" s="220"/>
      <c r="D17" s="220"/>
      <c r="E17" s="220"/>
    </row>
    <row r="18" spans="1:5">
      <c r="B18" s="3"/>
      <c r="C18" s="3"/>
      <c r="D18" s="3"/>
      <c r="E18" s="3"/>
    </row>
    <row r="19" spans="1:5" ht="33" customHeight="1">
      <c r="A19" s="1">
        <v>7</v>
      </c>
      <c r="B19" s="223" t="s">
        <v>35</v>
      </c>
      <c r="C19" s="223"/>
      <c r="D19" s="223"/>
      <c r="E19" s="223"/>
    </row>
    <row r="20" spans="1:5" ht="14.25" customHeight="1">
      <c r="B20" s="3"/>
      <c r="C20" s="3"/>
      <c r="D20" s="3"/>
      <c r="E20" s="3"/>
    </row>
    <row r="21" spans="1:5" ht="47.25" customHeight="1">
      <c r="A21" s="1">
        <v>8</v>
      </c>
      <c r="B21" s="223" t="s">
        <v>36</v>
      </c>
      <c r="C21" s="223"/>
      <c r="D21" s="223"/>
      <c r="E21" s="223"/>
    </row>
    <row r="22" spans="1:5" ht="15" customHeight="1">
      <c r="B22" s="3"/>
      <c r="C22" s="3"/>
      <c r="D22" s="3"/>
      <c r="E22" s="3"/>
    </row>
    <row r="23" spans="1:5" ht="32.25" customHeight="1">
      <c r="A23" s="1">
        <v>9</v>
      </c>
      <c r="B23" s="223" t="s">
        <v>34</v>
      </c>
      <c r="C23" s="223"/>
      <c r="D23" s="223"/>
      <c r="E23" s="223"/>
    </row>
    <row r="24" spans="1:5" ht="15" customHeight="1">
      <c r="B24" s="3"/>
      <c r="C24" s="3"/>
      <c r="D24" s="3"/>
      <c r="E24" s="3"/>
    </row>
    <row r="25" spans="1:5" ht="33" customHeight="1">
      <c r="A25" s="1">
        <v>10</v>
      </c>
      <c r="B25" s="223" t="s">
        <v>37</v>
      </c>
      <c r="C25" s="223"/>
      <c r="D25" s="223"/>
      <c r="E25" s="223"/>
    </row>
    <row r="26" spans="1:5">
      <c r="B26" s="3"/>
      <c r="C26" s="3"/>
      <c r="D26" s="3"/>
      <c r="E26" s="3"/>
    </row>
    <row r="27" spans="1:5" ht="30" customHeight="1">
      <c r="A27" s="1">
        <v>11</v>
      </c>
      <c r="B27" s="223" t="s">
        <v>38</v>
      </c>
      <c r="C27" s="223"/>
      <c r="D27" s="223"/>
      <c r="E27" s="223"/>
    </row>
    <row r="28" spans="1:5">
      <c r="B28" s="3"/>
      <c r="C28" s="3"/>
      <c r="D28" s="3"/>
      <c r="E28" s="3"/>
    </row>
    <row r="29" spans="1:5" ht="31.5" customHeight="1">
      <c r="A29" s="1">
        <v>12</v>
      </c>
      <c r="B29" s="223" t="s">
        <v>39</v>
      </c>
      <c r="C29" s="223"/>
      <c r="D29" s="223"/>
      <c r="E29" s="223"/>
    </row>
    <row r="30" spans="1:5">
      <c r="B30" s="3"/>
      <c r="C30" s="3"/>
      <c r="D30" s="3"/>
      <c r="E30" s="3"/>
    </row>
    <row r="31" spans="1:5" ht="34.5" customHeight="1">
      <c r="A31" s="1">
        <v>13</v>
      </c>
      <c r="B31" s="223" t="s">
        <v>17</v>
      </c>
      <c r="C31" s="223"/>
      <c r="D31" s="223"/>
      <c r="E31" s="223"/>
    </row>
    <row r="32" spans="1:5" ht="16.5" customHeight="1">
      <c r="B32" s="3"/>
      <c r="C32" s="3"/>
      <c r="D32" s="3"/>
      <c r="E32" s="3"/>
    </row>
    <row r="33" spans="1:5" ht="64.5" customHeight="1">
      <c r="A33" s="1">
        <v>14</v>
      </c>
      <c r="B33" s="223" t="s">
        <v>18</v>
      </c>
      <c r="C33" s="223"/>
      <c r="D33" s="223"/>
      <c r="E33" s="223"/>
    </row>
    <row r="34" spans="1:5" ht="14.25" customHeight="1">
      <c r="B34" s="3"/>
      <c r="C34" s="3"/>
      <c r="D34" s="3"/>
      <c r="E34" s="3"/>
    </row>
    <row r="35" spans="1:5">
      <c r="A35" s="1">
        <v>15</v>
      </c>
      <c r="B35" s="229" t="s">
        <v>32</v>
      </c>
      <c r="C35" s="229"/>
      <c r="D35" s="229"/>
      <c r="E35" s="229"/>
    </row>
    <row r="36" spans="1:5">
      <c r="B36" s="13" t="s">
        <v>7</v>
      </c>
      <c r="C36" s="221" t="s">
        <v>19</v>
      </c>
      <c r="D36" s="221"/>
      <c r="E36" s="221"/>
    </row>
    <row r="37" spans="1:5">
      <c r="B37" s="5" t="s">
        <v>20</v>
      </c>
      <c r="C37" s="222" t="s">
        <v>27</v>
      </c>
      <c r="D37" s="222"/>
      <c r="E37" s="222"/>
    </row>
    <row r="38" spans="1:5">
      <c r="B38" s="13" t="s">
        <v>21</v>
      </c>
      <c r="C38" s="221" t="s">
        <v>28</v>
      </c>
      <c r="D38" s="221"/>
      <c r="E38" s="221"/>
    </row>
    <row r="39" spans="1:5">
      <c r="B39" s="5" t="s">
        <v>22</v>
      </c>
      <c r="C39" s="222" t="s">
        <v>31</v>
      </c>
      <c r="D39" s="222"/>
      <c r="E39" s="222"/>
    </row>
    <row r="40" spans="1:5">
      <c r="B40" s="13" t="s">
        <v>9</v>
      </c>
      <c r="C40" s="221" t="s">
        <v>29</v>
      </c>
      <c r="D40" s="221"/>
      <c r="E40" s="221"/>
    </row>
    <row r="41" spans="1:5">
      <c r="B41" s="5" t="s">
        <v>8</v>
      </c>
      <c r="C41" s="222" t="s">
        <v>23</v>
      </c>
      <c r="D41" s="222"/>
      <c r="E41" s="222"/>
    </row>
    <row r="42" spans="1:5">
      <c r="B42" s="13" t="s">
        <v>24</v>
      </c>
      <c r="C42" s="221" t="s">
        <v>25</v>
      </c>
      <c r="D42" s="221"/>
      <c r="E42" s="221"/>
    </row>
    <row r="43" spans="1:5">
      <c r="B43" s="5" t="s">
        <v>26</v>
      </c>
      <c r="C43" s="222" t="s">
        <v>30</v>
      </c>
      <c r="D43" s="222"/>
      <c r="E43" s="222"/>
    </row>
    <row r="44" spans="1:5">
      <c r="B44" s="5"/>
      <c r="C44" s="6"/>
      <c r="D44" s="6"/>
      <c r="E44" s="6"/>
    </row>
    <row r="45" spans="1:5">
      <c r="A45" s="1">
        <v>16</v>
      </c>
      <c r="B45" s="15" t="s">
        <v>59</v>
      </c>
      <c r="C45" s="6"/>
      <c r="D45" s="6"/>
      <c r="E45" s="6"/>
    </row>
    <row r="46" spans="1:5" ht="30" customHeight="1">
      <c r="B46" s="13" t="s">
        <v>47</v>
      </c>
      <c r="C46" s="221" t="s">
        <v>61</v>
      </c>
      <c r="D46" s="221"/>
      <c r="E46" s="221"/>
    </row>
    <row r="47" spans="1:5">
      <c r="B47" s="5" t="s">
        <v>48</v>
      </c>
      <c r="C47" s="222" t="s">
        <v>60</v>
      </c>
      <c r="D47" s="222"/>
      <c r="E47" s="222"/>
    </row>
    <row r="48" spans="1:5" ht="48.75" customHeight="1">
      <c r="B48" s="13" t="s">
        <v>49</v>
      </c>
      <c r="C48" s="221" t="s">
        <v>63</v>
      </c>
      <c r="D48" s="221"/>
      <c r="E48" s="221"/>
    </row>
    <row r="49" spans="1:5" ht="29.25" customHeight="1">
      <c r="B49" s="5" t="s">
        <v>50</v>
      </c>
      <c r="C49" s="222" t="s">
        <v>62</v>
      </c>
      <c r="D49" s="222"/>
      <c r="E49" s="222"/>
    </row>
    <row r="50" spans="1:5">
      <c r="B50" s="5"/>
      <c r="C50" s="6"/>
      <c r="D50" s="6"/>
      <c r="E50" s="6"/>
    </row>
    <row r="51" spans="1:5" ht="84.75" customHeight="1">
      <c r="A51" s="1">
        <v>17</v>
      </c>
      <c r="B51" s="230" t="s">
        <v>305</v>
      </c>
      <c r="C51" s="230"/>
      <c r="D51" s="230"/>
      <c r="E51" s="230"/>
    </row>
    <row r="53" spans="1:5">
      <c r="B53" s="2"/>
    </row>
    <row r="54" spans="1:5">
      <c r="A54" s="228" t="s">
        <v>237</v>
      </c>
      <c r="B54" s="228"/>
      <c r="C54" s="228"/>
      <c r="D54" s="228"/>
      <c r="E54" s="228"/>
    </row>
    <row r="55" spans="1:5">
      <c r="A55" s="191" t="s">
        <v>238</v>
      </c>
    </row>
  </sheetData>
  <mergeCells count="35">
    <mergeCell ref="A54:E54"/>
    <mergeCell ref="B19:E19"/>
    <mergeCell ref="B35:E35"/>
    <mergeCell ref="C36:E36"/>
    <mergeCell ref="C37:E37"/>
    <mergeCell ref="C38:E38"/>
    <mergeCell ref="C39:E39"/>
    <mergeCell ref="C40:E40"/>
    <mergeCell ref="C41:E41"/>
    <mergeCell ref="C42:E42"/>
    <mergeCell ref="C43:E43"/>
    <mergeCell ref="B21:E21"/>
    <mergeCell ref="B23:E23"/>
    <mergeCell ref="B51:E51"/>
    <mergeCell ref="B1:E1"/>
    <mergeCell ref="B2:E2"/>
    <mergeCell ref="B4:E4"/>
    <mergeCell ref="B15:E15"/>
    <mergeCell ref="B10:C10"/>
    <mergeCell ref="B11:C11"/>
    <mergeCell ref="B13:C13"/>
    <mergeCell ref="B12:C12"/>
    <mergeCell ref="B8:C8"/>
    <mergeCell ref="B9:C9"/>
    <mergeCell ref="B6:E6"/>
    <mergeCell ref="B17:E17"/>
    <mergeCell ref="C46:E46"/>
    <mergeCell ref="C47:E47"/>
    <mergeCell ref="C49:E49"/>
    <mergeCell ref="C48:E48"/>
    <mergeCell ref="B29:E29"/>
    <mergeCell ref="B31:E31"/>
    <mergeCell ref="B33:E33"/>
    <mergeCell ref="B25:E25"/>
    <mergeCell ref="B27:E27"/>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5"/>
  <sheetViews>
    <sheetView zoomScaleNormal="100" workbookViewId="0">
      <selection activeCell="C5" sqref="C5"/>
    </sheetView>
  </sheetViews>
  <sheetFormatPr defaultRowHeight="14.4"/>
  <cols>
    <col min="2" max="2" width="32.6640625" customWidth="1"/>
    <col min="4" max="4" width="9.44140625" customWidth="1"/>
    <col min="6" max="6" width="18.5546875" bestFit="1" customWidth="1"/>
    <col min="7" max="7" width="9.109375"/>
    <col min="8" max="8" width="32.6640625" customWidth="1"/>
    <col min="9" max="9" width="9.109375"/>
    <col min="10" max="10" width="9.44140625" customWidth="1"/>
    <col min="11" max="11" width="9.109375"/>
    <col min="12" max="12" width="18.5546875" bestFit="1" customWidth="1"/>
    <col min="13" max="13" width="9.109375"/>
    <col min="14" max="14" width="23.5546875" customWidth="1"/>
    <col min="15" max="15" width="9.109375"/>
    <col min="16" max="16" width="9.44140625" customWidth="1"/>
    <col min="17" max="17" width="9.109375"/>
    <col min="18" max="18" width="18.5546875" bestFit="1" customWidth="1"/>
    <col min="19" max="19" width="0" hidden="1" customWidth="1"/>
    <col min="20" max="20" width="32.6640625" hidden="1" customWidth="1"/>
    <col min="21" max="21" width="0" hidden="1" customWidth="1"/>
    <col min="22" max="22" width="9.44140625" hidden="1" customWidth="1"/>
    <col min="23" max="23" width="0" hidden="1" customWidth="1"/>
    <col min="24" max="24" width="18.5546875" hidden="1" customWidth="1"/>
    <col min="25" max="25" width="14.5546875" hidden="1" customWidth="1"/>
    <col min="26" max="26" width="41.5546875" hidden="1" customWidth="1"/>
    <col min="27" max="29" width="0" hidden="1" customWidth="1"/>
    <col min="32" max="32" width="41.5546875" customWidth="1"/>
  </cols>
  <sheetData>
    <row r="1" spans="1:35" ht="15" thickBot="1">
      <c r="A1" s="236" t="s">
        <v>185</v>
      </c>
      <c r="B1" s="237"/>
      <c r="C1" s="231" t="s">
        <v>292</v>
      </c>
      <c r="D1" s="232"/>
      <c r="E1" s="233"/>
      <c r="G1" s="236" t="s">
        <v>185</v>
      </c>
      <c r="H1" s="237"/>
      <c r="I1" s="231" t="s">
        <v>291</v>
      </c>
      <c r="J1" s="232"/>
      <c r="K1" s="233"/>
      <c r="M1" s="236" t="s">
        <v>185</v>
      </c>
      <c r="N1" s="237"/>
      <c r="O1" s="231" t="s">
        <v>253</v>
      </c>
      <c r="P1" s="232"/>
      <c r="Q1" s="233"/>
      <c r="S1" s="236" t="s">
        <v>185</v>
      </c>
      <c r="T1" s="237"/>
      <c r="U1" s="231" t="s">
        <v>218</v>
      </c>
      <c r="V1" s="232"/>
      <c r="W1" s="233"/>
      <c r="Y1" s="236" t="s">
        <v>185</v>
      </c>
      <c r="Z1" s="237"/>
      <c r="AA1" s="231" t="s">
        <v>199</v>
      </c>
      <c r="AB1" s="232"/>
      <c r="AC1" s="233"/>
      <c r="AE1" s="236" t="s">
        <v>185</v>
      </c>
      <c r="AF1" s="237"/>
      <c r="AG1" s="231" t="s">
        <v>197</v>
      </c>
      <c r="AH1" s="232"/>
      <c r="AI1" s="233"/>
    </row>
    <row r="2" spans="1:35">
      <c r="A2" s="129" t="s">
        <v>186</v>
      </c>
      <c r="B2" s="130" t="s">
        <v>187</v>
      </c>
      <c r="C2" s="121" t="s">
        <v>182</v>
      </c>
      <c r="D2" s="122" t="s">
        <v>183</v>
      </c>
      <c r="E2" s="123" t="s">
        <v>10</v>
      </c>
      <c r="G2" s="129" t="s">
        <v>186</v>
      </c>
      <c r="H2" s="130" t="s">
        <v>187</v>
      </c>
      <c r="I2" s="121" t="s">
        <v>182</v>
      </c>
      <c r="J2" s="122" t="s">
        <v>183</v>
      </c>
      <c r="K2" s="123" t="s">
        <v>10</v>
      </c>
      <c r="M2" s="129" t="s">
        <v>186</v>
      </c>
      <c r="N2" s="130" t="s">
        <v>187</v>
      </c>
      <c r="O2" s="121" t="s">
        <v>182</v>
      </c>
      <c r="P2" s="122" t="s">
        <v>183</v>
      </c>
      <c r="Q2" s="123" t="s">
        <v>10</v>
      </c>
      <c r="S2" s="129" t="s">
        <v>186</v>
      </c>
      <c r="T2" s="130" t="s">
        <v>187</v>
      </c>
      <c r="U2" s="121" t="s">
        <v>182</v>
      </c>
      <c r="V2" s="122" t="s">
        <v>183</v>
      </c>
      <c r="W2" s="123" t="s">
        <v>10</v>
      </c>
      <c r="Y2" s="129" t="s">
        <v>186</v>
      </c>
      <c r="Z2" s="130" t="s">
        <v>187</v>
      </c>
      <c r="AA2" s="121" t="s">
        <v>182</v>
      </c>
      <c r="AB2" s="122" t="s">
        <v>183</v>
      </c>
      <c r="AC2" s="123" t="s">
        <v>10</v>
      </c>
      <c r="AE2" s="129" t="s">
        <v>186</v>
      </c>
      <c r="AF2" s="130" t="s">
        <v>187</v>
      </c>
      <c r="AG2" s="121" t="s">
        <v>182</v>
      </c>
      <c r="AH2" s="122" t="s">
        <v>183</v>
      </c>
      <c r="AI2" s="123" t="s">
        <v>10</v>
      </c>
    </row>
    <row r="3" spans="1:35">
      <c r="A3" s="124" t="s">
        <v>188</v>
      </c>
      <c r="B3" s="131" t="s">
        <v>189</v>
      </c>
      <c r="C3" s="124"/>
      <c r="D3" s="125">
        <v>125000</v>
      </c>
      <c r="E3" s="126">
        <f>+D3+C3</f>
        <v>125000</v>
      </c>
      <c r="G3" s="124" t="s">
        <v>188</v>
      </c>
      <c r="H3" s="131" t="s">
        <v>189</v>
      </c>
      <c r="I3" s="124"/>
      <c r="J3" s="125">
        <v>125000</v>
      </c>
      <c r="K3" s="126">
        <f>+J3+I3</f>
        <v>125000</v>
      </c>
      <c r="M3" s="124" t="s">
        <v>188</v>
      </c>
      <c r="N3" s="131" t="s">
        <v>189</v>
      </c>
      <c r="O3" s="124"/>
      <c r="P3" s="125">
        <v>125000</v>
      </c>
      <c r="Q3" s="126">
        <f>+P3+O3</f>
        <v>125000</v>
      </c>
      <c r="S3" s="124" t="s">
        <v>188</v>
      </c>
      <c r="T3" s="131" t="s">
        <v>189</v>
      </c>
      <c r="U3" s="124"/>
      <c r="V3" s="125">
        <v>125000</v>
      </c>
      <c r="W3" s="126">
        <f>+V3+U3</f>
        <v>125000</v>
      </c>
      <c r="Y3" s="124" t="s">
        <v>188</v>
      </c>
      <c r="Z3" s="131" t="s">
        <v>189</v>
      </c>
      <c r="AA3" s="124"/>
      <c r="AB3" s="125">
        <v>125000</v>
      </c>
      <c r="AC3" s="126">
        <f>+AB3+AA3</f>
        <v>125000</v>
      </c>
      <c r="AE3" s="124" t="s">
        <v>188</v>
      </c>
      <c r="AF3" s="131" t="s">
        <v>189</v>
      </c>
      <c r="AG3" s="124">
        <f>+C3-O3</f>
        <v>0</v>
      </c>
      <c r="AH3" s="124">
        <f>+D3-P3</f>
        <v>0</v>
      </c>
      <c r="AI3" s="126">
        <f>SUM(AG3:AH3)</f>
        <v>0</v>
      </c>
    </row>
    <row r="4" spans="1:35">
      <c r="A4" s="124" t="s">
        <v>188</v>
      </c>
      <c r="B4" s="131" t="s">
        <v>190</v>
      </c>
      <c r="C4" s="188">
        <f>ROUND(167116*0.975,0)</f>
        <v>162938</v>
      </c>
      <c r="D4" s="125"/>
      <c r="E4" s="126">
        <f t="shared" ref="E4:E9" si="0">+D4+C4</f>
        <v>162938</v>
      </c>
      <c r="G4" s="124" t="s">
        <v>188</v>
      </c>
      <c r="H4" s="131" t="s">
        <v>190</v>
      </c>
      <c r="I4" s="188">
        <v>159743</v>
      </c>
      <c r="J4" s="125"/>
      <c r="K4" s="126">
        <f t="shared" ref="K4:K9" si="1">+J4+I4</f>
        <v>159743</v>
      </c>
      <c r="M4" s="124" t="s">
        <v>188</v>
      </c>
      <c r="N4" s="131" t="s">
        <v>190</v>
      </c>
      <c r="O4" s="188">
        <v>156611.32500000001</v>
      </c>
      <c r="P4" s="125"/>
      <c r="Q4" s="126">
        <f t="shared" ref="Q4:Q9" si="2">+P4+O4</f>
        <v>156611.32500000001</v>
      </c>
      <c r="S4" s="124" t="s">
        <v>188</v>
      </c>
      <c r="T4" s="131" t="s">
        <v>190</v>
      </c>
      <c r="U4" s="124">
        <v>153540</v>
      </c>
      <c r="V4" s="125"/>
      <c r="W4" s="126">
        <f t="shared" ref="W4:W9" si="3">+V4+U4</f>
        <v>153540</v>
      </c>
      <c r="Y4" s="124" t="s">
        <v>188</v>
      </c>
      <c r="Z4" s="131" t="s">
        <v>190</v>
      </c>
      <c r="AA4" s="124">
        <v>150530</v>
      </c>
      <c r="AB4" s="125"/>
      <c r="AC4" s="126">
        <f t="shared" ref="AC4:AC9" si="4">+AB4+AA4</f>
        <v>150530</v>
      </c>
      <c r="AE4" s="124" t="s">
        <v>188</v>
      </c>
      <c r="AF4" s="131" t="s">
        <v>190</v>
      </c>
      <c r="AG4" s="124">
        <f t="shared" ref="AG4:AG9" si="5">+C4-O4</f>
        <v>6326.6749999999884</v>
      </c>
      <c r="AH4" s="124">
        <f t="shared" ref="AH4:AH9" si="6">+D4-P4</f>
        <v>0</v>
      </c>
      <c r="AI4" s="126">
        <f t="shared" ref="AI4:AI9" si="7">SUM(AG4:AH4)</f>
        <v>6326.6749999999884</v>
      </c>
    </row>
    <row r="5" spans="1:35">
      <c r="A5" s="124" t="s">
        <v>188</v>
      </c>
      <c r="B5" s="131" t="s">
        <v>200</v>
      </c>
      <c r="C5" s="188">
        <f>167116-C4</f>
        <v>4178</v>
      </c>
      <c r="D5" s="125"/>
      <c r="E5" s="126">
        <f t="shared" si="0"/>
        <v>4178</v>
      </c>
      <c r="G5" s="124" t="s">
        <v>188</v>
      </c>
      <c r="H5" s="131" t="s">
        <v>200</v>
      </c>
      <c r="I5" s="188">
        <v>4096</v>
      </c>
      <c r="J5" s="125"/>
      <c r="K5" s="126">
        <f t="shared" si="1"/>
        <v>4096</v>
      </c>
      <c r="M5" s="124" t="s">
        <v>188</v>
      </c>
      <c r="N5" s="131" t="s">
        <v>200</v>
      </c>
      <c r="O5" s="188">
        <v>4015.6750000000002</v>
      </c>
      <c r="P5" s="125"/>
      <c r="Q5" s="126">
        <f t="shared" si="2"/>
        <v>4015.6750000000002</v>
      </c>
      <c r="S5" s="124" t="s">
        <v>188</v>
      </c>
      <c r="T5" s="131" t="s">
        <v>200</v>
      </c>
      <c r="U5" s="124">
        <v>3937</v>
      </c>
      <c r="V5" s="125"/>
      <c r="W5" s="126">
        <f t="shared" si="3"/>
        <v>3937</v>
      </c>
      <c r="Y5" s="124" t="s">
        <v>188</v>
      </c>
      <c r="Z5" s="131" t="s">
        <v>200</v>
      </c>
      <c r="AA5" s="124">
        <v>3860</v>
      </c>
      <c r="AB5" s="125"/>
      <c r="AC5" s="126">
        <f t="shared" si="4"/>
        <v>3860</v>
      </c>
      <c r="AE5" s="124" t="s">
        <v>188</v>
      </c>
      <c r="AF5" s="131" t="s">
        <v>200</v>
      </c>
      <c r="AG5" s="124">
        <f t="shared" si="5"/>
        <v>162.32499999999982</v>
      </c>
      <c r="AH5" s="124">
        <f t="shared" si="6"/>
        <v>0</v>
      </c>
      <c r="AI5" s="126">
        <f t="shared" si="7"/>
        <v>162.32499999999982</v>
      </c>
    </row>
    <row r="6" spans="1:35">
      <c r="A6" s="124" t="s">
        <v>188</v>
      </c>
      <c r="B6" s="131" t="s">
        <v>139</v>
      </c>
      <c r="C6" s="124"/>
      <c r="D6" s="125">
        <v>0</v>
      </c>
      <c r="E6" s="126">
        <f t="shared" si="0"/>
        <v>0</v>
      </c>
      <c r="G6" s="124" t="s">
        <v>188</v>
      </c>
      <c r="H6" s="131" t="s">
        <v>139</v>
      </c>
      <c r="I6" s="124"/>
      <c r="J6" s="125">
        <v>0</v>
      </c>
      <c r="K6" s="126">
        <f t="shared" si="1"/>
        <v>0</v>
      </c>
      <c r="M6" s="124" t="s">
        <v>188</v>
      </c>
      <c r="N6" s="131" t="s">
        <v>139</v>
      </c>
      <c r="O6" s="124"/>
      <c r="P6" s="125">
        <v>0</v>
      </c>
      <c r="Q6" s="126">
        <f t="shared" si="2"/>
        <v>0</v>
      </c>
      <c r="S6" s="124" t="s">
        <v>188</v>
      </c>
      <c r="T6" s="131" t="s">
        <v>139</v>
      </c>
      <c r="U6" s="124"/>
      <c r="V6" s="125">
        <v>0</v>
      </c>
      <c r="W6" s="126">
        <f t="shared" si="3"/>
        <v>0</v>
      </c>
      <c r="Y6" s="124" t="s">
        <v>188</v>
      </c>
      <c r="Z6" s="131" t="s">
        <v>139</v>
      </c>
      <c r="AA6" s="124"/>
      <c r="AB6" s="125">
        <v>0</v>
      </c>
      <c r="AC6" s="126">
        <f t="shared" si="4"/>
        <v>0</v>
      </c>
      <c r="AE6" s="124" t="s">
        <v>188</v>
      </c>
      <c r="AF6" s="131" t="s">
        <v>139</v>
      </c>
      <c r="AG6" s="124">
        <f t="shared" si="5"/>
        <v>0</v>
      </c>
      <c r="AH6" s="124">
        <f t="shared" si="6"/>
        <v>0</v>
      </c>
      <c r="AI6" s="126">
        <f t="shared" si="7"/>
        <v>0</v>
      </c>
    </row>
    <row r="7" spans="1:35">
      <c r="A7" s="124" t="s">
        <v>188</v>
      </c>
      <c r="B7" s="131" t="s">
        <v>202</v>
      </c>
      <c r="C7" s="124"/>
      <c r="D7" s="125">
        <v>279254</v>
      </c>
      <c r="E7" s="126">
        <f t="shared" si="0"/>
        <v>279254</v>
      </c>
      <c r="G7" s="124" t="s">
        <v>188</v>
      </c>
      <c r="H7" s="131" t="s">
        <v>202</v>
      </c>
      <c r="I7" s="124"/>
      <c r="J7" s="125">
        <v>279254</v>
      </c>
      <c r="K7" s="126">
        <f t="shared" si="1"/>
        <v>279254</v>
      </c>
      <c r="M7" s="124" t="s">
        <v>188</v>
      </c>
      <c r="N7" s="131" t="s">
        <v>202</v>
      </c>
      <c r="O7" s="124"/>
      <c r="P7" s="125">
        <v>287106</v>
      </c>
      <c r="Q7" s="126">
        <f t="shared" si="2"/>
        <v>287106</v>
      </c>
      <c r="S7" s="124" t="s">
        <v>188</v>
      </c>
      <c r="T7" s="131" t="s">
        <v>202</v>
      </c>
      <c r="U7" s="124"/>
      <c r="V7" s="125">
        <v>287106</v>
      </c>
      <c r="W7" s="126">
        <f t="shared" si="3"/>
        <v>287106</v>
      </c>
      <c r="Y7" s="124" t="s">
        <v>188</v>
      </c>
      <c r="Z7" s="131" t="s">
        <v>202</v>
      </c>
      <c r="AA7" s="124"/>
      <c r="AB7" s="125">
        <v>287106</v>
      </c>
      <c r="AC7" s="126">
        <f t="shared" si="4"/>
        <v>287106</v>
      </c>
      <c r="AE7" s="124" t="s">
        <v>188</v>
      </c>
      <c r="AF7" s="131" t="s">
        <v>202</v>
      </c>
      <c r="AG7" s="124">
        <f t="shared" si="5"/>
        <v>0</v>
      </c>
      <c r="AH7" s="124">
        <f t="shared" si="6"/>
        <v>-7852</v>
      </c>
      <c r="AI7" s="126">
        <f t="shared" si="7"/>
        <v>-7852</v>
      </c>
    </row>
    <row r="8" spans="1:35">
      <c r="A8" s="124" t="s">
        <v>188</v>
      </c>
      <c r="B8" s="131" t="s">
        <v>191</v>
      </c>
      <c r="C8" s="124"/>
      <c r="D8" s="125">
        <v>88544</v>
      </c>
      <c r="E8" s="126">
        <f t="shared" si="0"/>
        <v>88544</v>
      </c>
      <c r="F8" s="138"/>
      <c r="G8" s="124" t="s">
        <v>188</v>
      </c>
      <c r="H8" s="131" t="s">
        <v>191</v>
      </c>
      <c r="I8" s="124"/>
      <c r="J8" s="125">
        <v>88544</v>
      </c>
      <c r="K8" s="126">
        <f t="shared" si="1"/>
        <v>88544</v>
      </c>
      <c r="L8" s="138"/>
      <c r="M8" s="124" t="s">
        <v>188</v>
      </c>
      <c r="N8" s="131" t="s">
        <v>191</v>
      </c>
      <c r="O8" s="124"/>
      <c r="P8" s="125">
        <v>112698</v>
      </c>
      <c r="Q8" s="126">
        <f t="shared" si="2"/>
        <v>112698</v>
      </c>
      <c r="S8" s="124" t="s">
        <v>188</v>
      </c>
      <c r="T8" s="131" t="s">
        <v>191</v>
      </c>
      <c r="U8" s="124"/>
      <c r="V8" s="125">
        <v>112698</v>
      </c>
      <c r="W8" s="126">
        <f t="shared" si="3"/>
        <v>112698</v>
      </c>
      <c r="Y8" s="124" t="s">
        <v>188</v>
      </c>
      <c r="Z8" s="131" t="s">
        <v>191</v>
      </c>
      <c r="AA8" s="124"/>
      <c r="AB8" s="125">
        <v>112698</v>
      </c>
      <c r="AC8" s="126">
        <f t="shared" si="4"/>
        <v>112698</v>
      </c>
      <c r="AE8" s="124" t="s">
        <v>188</v>
      </c>
      <c r="AF8" s="131" t="s">
        <v>191</v>
      </c>
      <c r="AG8" s="124">
        <f t="shared" si="5"/>
        <v>0</v>
      </c>
      <c r="AH8" s="124">
        <f t="shared" si="6"/>
        <v>-24154</v>
      </c>
      <c r="AI8" s="126">
        <f t="shared" si="7"/>
        <v>-24154</v>
      </c>
    </row>
    <row r="9" spans="1:35">
      <c r="A9" s="124" t="s">
        <v>188</v>
      </c>
      <c r="B9" s="154" t="s">
        <v>211</v>
      </c>
      <c r="C9" s="188">
        <v>120382</v>
      </c>
      <c r="D9" s="149"/>
      <c r="E9" s="126">
        <f t="shared" si="0"/>
        <v>120382</v>
      </c>
      <c r="G9" s="124" t="s">
        <v>188</v>
      </c>
      <c r="H9" s="154" t="s">
        <v>211</v>
      </c>
      <c r="I9" s="188">
        <v>118022</v>
      </c>
      <c r="J9" s="149"/>
      <c r="K9" s="126">
        <f t="shared" si="1"/>
        <v>118022</v>
      </c>
      <c r="M9" s="124" t="s">
        <v>188</v>
      </c>
      <c r="N9" s="154" t="s">
        <v>211</v>
      </c>
      <c r="O9" s="188">
        <v>115708</v>
      </c>
      <c r="P9" s="149"/>
      <c r="Q9" s="126">
        <f t="shared" si="2"/>
        <v>115708</v>
      </c>
      <c r="S9" s="124" t="s">
        <v>188</v>
      </c>
      <c r="T9" s="154" t="s">
        <v>211</v>
      </c>
      <c r="U9" s="124">
        <v>123342</v>
      </c>
      <c r="V9" s="149"/>
      <c r="W9" s="126">
        <f t="shared" si="3"/>
        <v>123342</v>
      </c>
      <c r="Y9" s="124" t="s">
        <v>188</v>
      </c>
      <c r="Z9" s="154" t="s">
        <v>211</v>
      </c>
      <c r="AA9" s="124">
        <v>120923</v>
      </c>
      <c r="AB9" s="149"/>
      <c r="AC9" s="126">
        <f t="shared" si="4"/>
        <v>120923</v>
      </c>
      <c r="AE9" s="124" t="s">
        <v>188</v>
      </c>
      <c r="AF9" s="154" t="s">
        <v>211</v>
      </c>
      <c r="AG9" s="124">
        <f t="shared" si="5"/>
        <v>4674</v>
      </c>
      <c r="AH9" s="124">
        <f t="shared" si="6"/>
        <v>0</v>
      </c>
      <c r="AI9" s="126">
        <f t="shared" si="7"/>
        <v>4674</v>
      </c>
    </row>
    <row r="10" spans="1:35" ht="24">
      <c r="A10" s="124"/>
      <c r="B10" s="160" t="s">
        <v>192</v>
      </c>
      <c r="C10" s="158">
        <f>SUM(C3:C9)</f>
        <v>287498</v>
      </c>
      <c r="D10" s="127">
        <f>SUM(D3:D9)</f>
        <v>492798</v>
      </c>
      <c r="E10" s="139">
        <f>SUM(E3:E9)</f>
        <v>780296</v>
      </c>
      <c r="G10" s="124"/>
      <c r="H10" s="160" t="s">
        <v>192</v>
      </c>
      <c r="I10" s="158">
        <f>SUM(I3:I9)</f>
        <v>281861</v>
      </c>
      <c r="J10" s="127">
        <f>SUM(J3:J9)</f>
        <v>492798</v>
      </c>
      <c r="K10" s="139">
        <f>SUM(K3:K9)</f>
        <v>774659</v>
      </c>
      <c r="M10" s="124"/>
      <c r="N10" s="160" t="s">
        <v>192</v>
      </c>
      <c r="O10" s="158">
        <f>SUM(O3:O9)</f>
        <v>276335</v>
      </c>
      <c r="P10" s="127">
        <f>SUM(P3:P9)</f>
        <v>524804</v>
      </c>
      <c r="Q10" s="139">
        <f>SUM(Q3:Q9)</f>
        <v>801139</v>
      </c>
      <c r="S10" s="124"/>
      <c r="T10" s="160" t="s">
        <v>192</v>
      </c>
      <c r="U10" s="158">
        <f>SUM(U3:U9)</f>
        <v>280819</v>
      </c>
      <c r="V10" s="127">
        <f>SUM(V3:V9)</f>
        <v>524804</v>
      </c>
      <c r="W10" s="139">
        <f>SUM(W3:W9)</f>
        <v>805623</v>
      </c>
      <c r="Y10" s="124"/>
      <c r="Z10" s="160" t="s">
        <v>192</v>
      </c>
      <c r="AA10" s="158">
        <f>SUM(AA3:AA9)</f>
        <v>275313</v>
      </c>
      <c r="AB10" s="158">
        <f>SUM(AB3:AB9)</f>
        <v>524804</v>
      </c>
      <c r="AC10" s="139">
        <f>SUM(AC3:AC9)</f>
        <v>800117</v>
      </c>
      <c r="AE10" s="124"/>
      <c r="AF10" s="160" t="s">
        <v>192</v>
      </c>
      <c r="AG10" s="158">
        <f t="shared" ref="AG10:AH10" si="8">SUM(AG3:AG8)</f>
        <v>6488.9999999999882</v>
      </c>
      <c r="AH10" s="127">
        <f t="shared" si="8"/>
        <v>-32006</v>
      </c>
      <c r="AI10" s="139">
        <f>SUM(AI3:AI9)</f>
        <v>-20843.000000000011</v>
      </c>
    </row>
    <row r="11" spans="1:35" ht="15" thickBot="1">
      <c r="A11" s="124"/>
      <c r="B11" s="132" t="s">
        <v>193</v>
      </c>
      <c r="C11" s="234" t="s">
        <v>184</v>
      </c>
      <c r="D11" s="235"/>
      <c r="E11" s="128">
        <f>ROUND(E10*0.949,0)</f>
        <v>740501</v>
      </c>
      <c r="G11" s="124"/>
      <c r="H11" s="132" t="s">
        <v>193</v>
      </c>
      <c r="I11" s="234" t="s">
        <v>184</v>
      </c>
      <c r="J11" s="235"/>
      <c r="K11" s="128">
        <f>K10*0.949</f>
        <v>735151.39099999995</v>
      </c>
      <c r="M11" s="124"/>
      <c r="N11" s="132" t="s">
        <v>193</v>
      </c>
      <c r="O11" s="234" t="s">
        <v>184</v>
      </c>
      <c r="P11" s="235"/>
      <c r="Q11" s="128">
        <f>Q10*0.949</f>
        <v>760280.91099999996</v>
      </c>
      <c r="S11" s="124"/>
      <c r="T11" s="132" t="s">
        <v>193</v>
      </c>
      <c r="U11" s="234" t="s">
        <v>184</v>
      </c>
      <c r="V11" s="235"/>
      <c r="W11" s="128">
        <f>W10*0.949</f>
        <v>764536.22699999996</v>
      </c>
      <c r="Y11" s="124"/>
      <c r="Z11" s="132" t="s">
        <v>193</v>
      </c>
      <c r="AA11" s="234" t="s">
        <v>184</v>
      </c>
      <c r="AB11" s="235"/>
      <c r="AC11" s="128">
        <f>AC10*0.949</f>
        <v>759311.03299999994</v>
      </c>
      <c r="AE11" s="124"/>
      <c r="AF11" s="132" t="s">
        <v>193</v>
      </c>
      <c r="AG11" s="234" t="s">
        <v>184</v>
      </c>
      <c r="AH11" s="235"/>
      <c r="AI11" s="128">
        <f>AI10*0.949</f>
        <v>-19780.007000000009</v>
      </c>
    </row>
    <row r="12" spans="1:35">
      <c r="D12" t="s">
        <v>194</v>
      </c>
      <c r="J12" t="s">
        <v>194</v>
      </c>
      <c r="P12" t="s">
        <v>194</v>
      </c>
      <c r="V12" t="s">
        <v>194</v>
      </c>
      <c r="AI12" s="138"/>
    </row>
    <row r="13" spans="1:35">
      <c r="D13" s="16">
        <f>E11-'Federal Funds Transactions'!Y5</f>
        <v>0</v>
      </c>
      <c r="E13" t="s">
        <v>195</v>
      </c>
      <c r="F13" s="16"/>
      <c r="J13" s="16">
        <f>K11-'Federal Funds Transactions'!AE5</f>
        <v>735151.39099999995</v>
      </c>
      <c r="K13" t="s">
        <v>195</v>
      </c>
      <c r="L13" s="16"/>
      <c r="P13" s="16"/>
      <c r="V13" s="16">
        <f>W11-'Federal Funds Transactions'!AK5</f>
        <v>764536.22699999996</v>
      </c>
      <c r="W13" t="s">
        <v>195</v>
      </c>
    </row>
    <row r="15" spans="1:35">
      <c r="A15" t="s">
        <v>268</v>
      </c>
      <c r="G15" t="s">
        <v>268</v>
      </c>
    </row>
  </sheetData>
  <mergeCells count="18">
    <mergeCell ref="A1:B1"/>
    <mergeCell ref="Y1:Z1"/>
    <mergeCell ref="AA1:AC1"/>
    <mergeCell ref="AA11:AB11"/>
    <mergeCell ref="AE1:AF1"/>
    <mergeCell ref="M1:N1"/>
    <mergeCell ref="O1:Q1"/>
    <mergeCell ref="O11:P11"/>
    <mergeCell ref="S1:T1"/>
    <mergeCell ref="U1:W1"/>
    <mergeCell ref="U11:V11"/>
    <mergeCell ref="G1:H1"/>
    <mergeCell ref="I1:K1"/>
    <mergeCell ref="I11:J11"/>
    <mergeCell ref="AG1:AI1"/>
    <mergeCell ref="AG11:AH11"/>
    <mergeCell ref="C1:E1"/>
    <mergeCell ref="C11:D1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2025-05-12T19:42:42Z</cp:lastPrinted>
  <dcterms:created xsi:type="dcterms:W3CDTF">2013-05-11T20:19:37Z</dcterms:created>
  <dcterms:modified xsi:type="dcterms:W3CDTF">2026-01-02T22:36:31Z</dcterms:modified>
</cp:coreProperties>
</file>