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G:\FMS\RESOURCE\Fiscal Year Files\FY 2026\2026 Ledgers\FY 2026 - Current\"/>
    </mc:Choice>
  </mc:AlternateContent>
  <xr:revisionPtr revIDLastSave="0" documentId="13_ncr:1_{F208CED9-399D-4DD6-B82C-81B5547E500E}" xr6:coauthVersionLast="47" xr6:coauthVersionMax="47" xr10:uidLastSave="{00000000-0000-0000-0000-000000000000}"/>
  <bookViews>
    <workbookView xWindow="-108" yWindow="-108" windowWidth="23256" windowHeight="12456" xr2:uid="{00000000-000D-0000-FFFF-FFFF00000000}"/>
  </bookViews>
  <sheets>
    <sheet name="Federal Funds Transactions" sheetId="1" r:id="rId1"/>
    <sheet name="Regional Loans and Transfers" sheetId="3" r:id="rId2"/>
    <sheet name="Notes" sheetId="2" r:id="rId3"/>
    <sheet name="FY26 Apportionments" sheetId="4" r:id="rId4"/>
  </sheets>
  <definedNames>
    <definedName name="CAG_ApportLoans_qry" localSheetId="1">'Regional Loans and Transfers'!#REF!</definedName>
    <definedName name="CAG_ApportTransfers_qry_1" localSheetId="1">'Regional Loans and Transfers'!#REF!</definedName>
    <definedName name="CAG_Ledger_Authorized" localSheetId="0" hidden="1">'Federal Funds Transactions'!#REF!</definedName>
    <definedName name="CAG_Ledger_Authorized.qry_1" localSheetId="0" hidden="1">'Federal Funds Transactions'!#REF!</definedName>
    <definedName name="CAG_Ledger_Not_Authorized" localSheetId="0" hidden="1">'Federal Funds Transactions'!#REF!</definedName>
    <definedName name="CAG_Ledger_NotAuthorized.qry" localSheetId="0" hidden="1">'Federal Funds Transactions'!#REF!</definedName>
    <definedName name="CAG_OALoans_qry" localSheetId="1">'Regional Loans and Transfers'!#REF!</definedName>
    <definedName name="CAG_OATransfers_qry" localSheetId="1">'Regional Loans and Transfers'!#REF!</definedName>
    <definedName name="_xlnm.Print_Area" localSheetId="0">'Federal Funds Transactions'!$A$1:$T$48</definedName>
    <definedName name="Query_from_MS_Access_Database" localSheetId="0" hidden="1">'Federal Funds Transactions'!$A$15:$W$24</definedName>
    <definedName name="Query_from_MS_Access_Database" localSheetId="1" hidden="1">'Regional Loans and Transfers'!$A$11:$AA$66</definedName>
    <definedName name="Query_from_MS_Access_Database_1" localSheetId="0" hidden="1">'Federal Funds Transactions'!$A$29:$W$36</definedName>
    <definedName name="Query_from_MS_Access_Database_1" localSheetId="1" hidden="1">'Regional Loans and Transfers'!$A$69:$AA$124</definedName>
    <definedName name="WACOGLedgerAuthorized" localSheetId="0" hidden="1">'Federal Funds Transactions'!#REF!</definedName>
    <definedName name="WACOGqryLedgerApports" localSheetId="1" hidden="1">'Regional Loans and Transfers'!#REF!</definedName>
    <definedName name="WACOGqryLedgerOA" localSheetId="1" hidden="1">'Regional Loans and Transfers'!#REF!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1" l="1"/>
  <c r="X17" i="1"/>
  <c r="X18" i="1"/>
  <c r="X19" i="1"/>
  <c r="X20" i="1"/>
  <c r="X21" i="1"/>
  <c r="X22" i="1"/>
  <c r="X23" i="1"/>
  <c r="X24" i="1"/>
  <c r="X30" i="1"/>
  <c r="X31" i="1"/>
  <c r="X32" i="1"/>
  <c r="X33" i="1"/>
  <c r="X34" i="1"/>
  <c r="X35" i="1"/>
  <c r="X36" i="1"/>
  <c r="C10" i="4" l="1"/>
  <c r="C6" i="4"/>
  <c r="C5" i="4"/>
  <c r="AH10" i="4" l="1"/>
  <c r="AI10" i="4"/>
  <c r="AH3" i="4"/>
  <c r="AH4" i="4"/>
  <c r="AH5" i="4"/>
  <c r="AH6" i="4"/>
  <c r="AI6" i="4"/>
  <c r="AH7" i="4"/>
  <c r="AH8" i="4"/>
  <c r="AI8" i="4"/>
  <c r="AH9" i="4"/>
  <c r="AG4" i="4"/>
  <c r="AG5" i="4"/>
  <c r="AG6" i="4"/>
  <c r="AG7" i="4"/>
  <c r="AG8" i="4"/>
  <c r="AG9" i="4"/>
  <c r="AG10" i="4"/>
  <c r="AG3" i="4"/>
  <c r="J11" i="4"/>
  <c r="I11" i="4"/>
  <c r="K11" i="4" s="1"/>
  <c r="K12" i="4" s="1"/>
  <c r="J14" i="4" s="1"/>
  <c r="K9" i="4"/>
  <c r="K7" i="4"/>
  <c r="K5" i="4"/>
  <c r="K4" i="4"/>
  <c r="K3" i="4"/>
  <c r="Y11" i="1"/>
  <c r="W11" i="1"/>
  <c r="V11" i="1"/>
  <c r="U11" i="1"/>
  <c r="T11" i="1"/>
  <c r="S11" i="1"/>
  <c r="R11" i="1"/>
  <c r="Q11" i="1"/>
  <c r="P11" i="1"/>
  <c r="O11" i="1"/>
  <c r="N11" i="1"/>
  <c r="M11" i="1"/>
  <c r="Y10" i="1"/>
  <c r="W10" i="1"/>
  <c r="V10" i="1"/>
  <c r="U10" i="1"/>
  <c r="T10" i="1"/>
  <c r="S10" i="1"/>
  <c r="R10" i="1"/>
  <c r="Q10" i="1"/>
  <c r="P10" i="1"/>
  <c r="O10" i="1"/>
  <c r="N10" i="1"/>
  <c r="M10" i="1"/>
  <c r="Y9" i="1"/>
  <c r="W9" i="1"/>
  <c r="V9" i="1"/>
  <c r="U9" i="1"/>
  <c r="T9" i="1"/>
  <c r="S9" i="1"/>
  <c r="R9" i="1"/>
  <c r="Q9" i="1"/>
  <c r="P9" i="1"/>
  <c r="O9" i="1"/>
  <c r="N9" i="1"/>
  <c r="M9" i="1"/>
  <c r="Y8" i="1"/>
  <c r="W8" i="1"/>
  <c r="V8" i="1"/>
  <c r="U8" i="1"/>
  <c r="T8" i="1"/>
  <c r="S8" i="1"/>
  <c r="R8" i="1"/>
  <c r="Q8" i="1"/>
  <c r="P8" i="1"/>
  <c r="O8" i="1"/>
  <c r="N8" i="1"/>
  <c r="M8" i="1"/>
  <c r="Y7" i="1"/>
  <c r="W7" i="1"/>
  <c r="V7" i="1"/>
  <c r="U7" i="1"/>
  <c r="T7" i="1"/>
  <c r="S7" i="1"/>
  <c r="R7" i="1"/>
  <c r="Q7" i="1"/>
  <c r="P7" i="1"/>
  <c r="O7" i="1"/>
  <c r="N7" i="1"/>
  <c r="M7" i="1"/>
  <c r="Y6" i="1"/>
  <c r="W6" i="1"/>
  <c r="V6" i="1"/>
  <c r="U6" i="1"/>
  <c r="T6" i="1"/>
  <c r="S6" i="1"/>
  <c r="R6" i="1"/>
  <c r="Q6" i="1"/>
  <c r="P6" i="1"/>
  <c r="O6" i="1"/>
  <c r="N6" i="1"/>
  <c r="M6" i="1"/>
  <c r="D12" i="2" l="1"/>
  <c r="D13" i="2" s="1"/>
  <c r="V11" i="4" l="1"/>
  <c r="U11" i="4"/>
  <c r="W11" i="4" s="1"/>
  <c r="W12" i="4" s="1"/>
  <c r="W9" i="4"/>
  <c r="W7" i="4"/>
  <c r="W5" i="4"/>
  <c r="W4" i="4"/>
  <c r="W3" i="4"/>
  <c r="Q12" i="4" l="1"/>
  <c r="N39" i="1" l="1"/>
  <c r="O39" i="1"/>
  <c r="P39" i="1"/>
  <c r="Q39" i="1"/>
  <c r="R39" i="1"/>
  <c r="S39" i="1"/>
  <c r="T39" i="1"/>
  <c r="U39" i="1"/>
  <c r="V39" i="1"/>
  <c r="W39" i="1"/>
  <c r="X39" i="1"/>
  <c r="M39" i="1"/>
  <c r="O5" i="1" l="1"/>
  <c r="P5" i="1"/>
  <c r="Q5" i="1"/>
  <c r="R5" i="1"/>
  <c r="S5" i="1"/>
  <c r="U5" i="1"/>
  <c r="V5" i="1"/>
  <c r="X25" i="1"/>
  <c r="X41" i="1" s="1"/>
  <c r="U25" i="1"/>
  <c r="U41" i="1" s="1"/>
  <c r="V25" i="1"/>
  <c r="V41" i="1" s="1"/>
  <c r="W25" i="1"/>
  <c r="W41" i="1" s="1"/>
  <c r="X4" i="1"/>
  <c r="R25" i="1"/>
  <c r="R41" i="1" s="1"/>
  <c r="AB11" i="4"/>
  <c r="AA11" i="4"/>
  <c r="X46" i="1"/>
  <c r="P25" i="1"/>
  <c r="P41" i="1" s="1"/>
  <c r="Q25" i="1"/>
  <c r="Q41" i="1" s="1"/>
  <c r="S25" i="1"/>
  <c r="S41" i="1" s="1"/>
  <c r="T25" i="1"/>
  <c r="T41" i="1" s="1"/>
  <c r="M25" i="1"/>
  <c r="M41" i="1" s="1"/>
  <c r="N25" i="1"/>
  <c r="N41" i="1" s="1"/>
  <c r="O25" i="1"/>
  <c r="O41" i="1" s="1"/>
  <c r="AC5" i="4"/>
  <c r="AC11" i="4" s="1"/>
  <c r="AC12" i="4" s="1"/>
  <c r="AC6" i="4"/>
  <c r="AC7" i="4"/>
  <c r="AC8" i="4"/>
  <c r="AC9" i="4"/>
  <c r="AC10" i="4"/>
  <c r="D11" i="4"/>
  <c r="AH11" i="4" s="1"/>
  <c r="C11" i="4"/>
  <c r="AG11" i="4" s="1"/>
  <c r="AC4" i="4"/>
  <c r="AC3" i="4"/>
  <c r="E4" i="4"/>
  <c r="AI4" i="4" s="1"/>
  <c r="E5" i="4"/>
  <c r="AI5" i="4" s="1"/>
  <c r="E7" i="4"/>
  <c r="AI7" i="4" s="1"/>
  <c r="E9" i="4"/>
  <c r="AI9" i="4" s="1"/>
  <c r="E3" i="4"/>
  <c r="AI3" i="4" s="1"/>
  <c r="B5" i="3"/>
  <c r="A7" i="3"/>
  <c r="A1" i="3"/>
  <c r="E11" i="4" l="1"/>
  <c r="E12" i="4" s="1"/>
  <c r="X5" i="1"/>
  <c r="Y5" i="1" s="1"/>
  <c r="X11" i="1"/>
  <c r="X7" i="1"/>
  <c r="T12" i="1"/>
  <c r="T26" i="1" s="1"/>
  <c r="V12" i="1"/>
  <c r="X9" i="1"/>
  <c r="W12" i="1"/>
  <c r="W26" i="1" s="1"/>
  <c r="R12" i="1"/>
  <c r="X8" i="1"/>
  <c r="P12" i="1"/>
  <c r="S12" i="1"/>
  <c r="S26" i="1" s="1"/>
  <c r="Q12" i="1"/>
  <c r="U12" i="1"/>
  <c r="O12" i="1"/>
  <c r="M12" i="1"/>
  <c r="X10" i="1"/>
  <c r="N12" i="1"/>
  <c r="N26" i="1" s="1"/>
  <c r="X6" i="1"/>
  <c r="AI11" i="4" l="1"/>
  <c r="AI12" i="4" s="1"/>
  <c r="D14" i="4"/>
  <c r="Y12" i="1"/>
  <c r="P26" i="1"/>
  <c r="P40" i="1" s="1"/>
  <c r="P45" i="1" s="1"/>
  <c r="V26" i="1"/>
  <c r="V40" i="1" s="1"/>
  <c r="V45" i="1" s="1"/>
  <c r="R26" i="1"/>
  <c r="R40" i="1" s="1"/>
  <c r="R45" i="1" s="1"/>
  <c r="Q26" i="1"/>
  <c r="Q40" i="1" s="1"/>
  <c r="Q45" i="1" s="1"/>
  <c r="O26" i="1"/>
  <c r="O40" i="1" s="1"/>
  <c r="O45" i="1" s="1"/>
  <c r="U26" i="1"/>
  <c r="U40" i="1" s="1"/>
  <c r="U45" i="1" s="1"/>
  <c r="N40" i="1"/>
  <c r="N45" i="1" s="1"/>
  <c r="W40" i="1"/>
  <c r="W45" i="1" s="1"/>
  <c r="T40" i="1"/>
  <c r="T45" i="1" s="1"/>
  <c r="S40" i="1"/>
  <c r="S45" i="1" s="1"/>
  <c r="M26" i="1"/>
  <c r="X12" i="1"/>
  <c r="X26" i="1" s="1"/>
  <c r="X40" i="1" s="1"/>
  <c r="Y30" i="1"/>
  <c r="Y31" i="1" s="1"/>
  <c r="Y32" i="1" s="1"/>
  <c r="Y33" i="1" s="1"/>
  <c r="Y34" i="1" s="1"/>
  <c r="Y35" i="1" s="1"/>
  <c r="Y36" i="1" s="1"/>
  <c r="Y16" i="1"/>
  <c r="Y17" i="1" s="1"/>
  <c r="Y18" i="1" s="1"/>
  <c r="Y19" i="1" s="1"/>
  <c r="Y20" i="1" s="1"/>
  <c r="Y21" i="1" s="1"/>
  <c r="Y22" i="1" s="1"/>
  <c r="Y23" i="1" s="1"/>
  <c r="Y24" i="1" s="1"/>
  <c r="U47" i="1" l="1"/>
  <c r="U48" i="1"/>
  <c r="P48" i="1"/>
  <c r="P47" i="1"/>
  <c r="R48" i="1"/>
  <c r="R47" i="1"/>
  <c r="O47" i="1"/>
  <c r="O48" i="1"/>
  <c r="S48" i="1"/>
  <c r="S47" i="1"/>
  <c r="T48" i="1"/>
  <c r="T47" i="1"/>
  <c r="V47" i="1"/>
  <c r="V48" i="1"/>
  <c r="W48" i="1"/>
  <c r="W47" i="1"/>
  <c r="N47" i="1"/>
  <c r="N48" i="1"/>
  <c r="M40" i="1"/>
  <c r="M45" i="1" s="1"/>
  <c r="Q48" i="1"/>
  <c r="Q47" i="1"/>
  <c r="M48" i="1" l="1"/>
  <c r="X48" i="1" s="1"/>
  <c r="X45" i="1"/>
  <c r="M47" i="1"/>
  <c r="X47" i="1" s="1"/>
  <c r="AA37" i="1" l="1"/>
  <c r="Y45" i="1" l="1"/>
  <c r="Y47"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MS Access Database" type="1" refreshedVersion="8" background="1" saveData="1">
    <dbPr connection="DSN=MS Access Database;DBQ=G:\FMS\RESOURCE\ACCESS\010614 PBPF\011614 PBPF front.accdb;DefaultDir=G:\FMS\RESOURCE\ACCESS\010614 PBPF;DriverId=25;FIL=MS Access;MaxBufferSize=2048;PageTimeout=5;" command="SELECT `11-LHMPO LEDGER`.`ADOT#`, `11-LHMPO LEDGER`.`TIP#`, `11-LHMPO LEDGER`.Sponsor, `11-LHMPO LEDGER`.`Action/15`, `11-LHMPO LEDGER`.Location, `11-LHMPO LEDGER`.RTE, `11-LHMPO LEDGER`.SEC, `11-LHMPO LEDGER`.SEQ, `11-LHMPO LEDGER`.`PB Expected`, `11-LHMPO LEDGER`.`PB Received`, `11-LHMPO LEDGER`.`PF Transmitted`, `11-LHMPO LEDGER`.`Finance Authorization`, `11-LHMPO LEDGER`.`HURF EXCHANGE` AS `HURF EX`, `11-LHMPO LEDGER`.HSIP, `11-LHMPO LEDGER`.PL, `11-LHMPO LEDGER`.`PL-SATO`,  `11-LHMPO LEDGER`.SPR, `11-LHMPO LEDGER`.`STP &lt;5`, `11-LHMPO LEDGER`.`STP 5-200`, `11-LHMPO LEDGER`.`STP 5-50`, `11-LHMPO LEDGER`.`STP 50-200`, `11-LHMPO LEDGER`.`CRP 50-200`, `11-LHMPO LEDGER`.`STP other`_x000d__x000a_FROM `G:\FMS\RESOURCE\ACCESS\010614 PBPF\011614 PBPF front.accdb`.`11-LHMPO LEDGER` `11-LHMPO LEDGER`_x000d__x000a_WHERE (`11-LHMPO LEDGER`.`ADOT#`&lt;&gt;'Trick') AND (`11-LHMPO LEDGER`.`Finance Authorization`&gt;=#10/1/2025# AND `11-LHMPO LEDGER`.`Finance Authorization`&lt;=#9/30/2026#)_x000d__x000a_ORDER BY `11-LHMPO LEDGER`.`Finance Authorization`"/>
  </connection>
  <connection id="2" xr16:uid="{00000000-0015-0000-FFFF-FFFF01000000}" name="Query from MS Access Database1" type="1" refreshedVersion="8" background="1" saveData="1">
    <dbPr connection="DSN=MS Access Database;DBQ=G:\FMS\RESOURCE\ACCESS\010614 PBPF\011614 PBPF front.accdb;DefaultDir=G:\FMS\RESOURCE\ACCESS\010614 PBPF;DriverId=25;FIL=MS Access;MaxBufferSize=2048;PageTimeout=5;" command="SELECT `11-LHCqryLedgerApportsCrosstab`.`Transaction Year`, `11-LHCqryLedgerApportsCrosstab`.`Transaction Type`, `11-LHCqryLedgerApportsCrosstab`.Number, `11-LHCqryLedgerApportsCrosstab`.`From`, `11-LHCqryLedgerApportsCrosstab`.To, `11-LHCqryLedgerApportsCrosstab`.`Repayment Year`, `11-LHCqryLedgerApportsCrosstab`.Project8, `11-LHCqryLedgerApportsCrosstab`.Notes, `11-LHCqryLedgerApportsCrosstab`.Total, `11-LHCqryLedgerApportsCrosstab`.CMAQ, `11-LHCqryLedgerApportsCrosstab`.`CMAQ 25`, `11-LHCqryLedgerApportsCrosstab`.`HURF Exchange`, `11-LHCqryLedgerApportsCrosstab`.HSIP, `11-LHCqryLedgerApportsCrosstab`.PLAN,`11-LHCqryLedgerApportsCrosstab`.`PLAN SATO`, `11-LHCqryLedgerApportsCrosstab`.SPR, `11-LHCqryLedgerApportsCrosstab`.`STP &lt;5`, `11-LHCqryLedgerApportsCrosstab`.`STP 5-2`,  `11-LHCqryLedgerApportsCrosstab`.`STP 5-50`,`11-LHCqryLedgerApportsCrosstab`.`STP 50-200`,`11-LHCqryLedgerApportsCrosstab`.`CRP 50-200`,`11-LHCqryLedgerApportsCrosstab`.`STP FLEX`, `11-LHCqryLedgerApportsCrosstab`.`STP &gt;200`, `11-LHCqryLedgerApportsCrosstab`.`TAP FLEX`, `11-LHCqryLedgerApportsCrosstab`.`TAP &gt;200`, `11-LHCqryLedgerApportsCrosstab`.`TAP &lt;5`, `11-LHCqryLedgerApportsCrosstab`.`TAP 5-2`_x000d__x000a_FROM `G:\FMS\RESOURCE\ACCESS\010614 PBPF\011614 PBPF front.accdb`.`11-LHCqryLedgerApportsCrosstab` `11-LHCqryLedgerApportsCrosstab`_x000d__x000a_WHERE (`11-LHCqryLedgerApportsCrosstab`.Total&lt;&gt;0)"/>
  </connection>
  <connection id="3" xr16:uid="{00000000-0015-0000-FFFF-FFFF02000000}" name="Query from MS Access Database2" type="1" refreshedVersion="8" background="1" saveData="1">
    <dbPr connection="DSN=MS Access Database;DBQ=G:\FMS\RESOURCE\ACCESS\010614 PBPF\011614 PBPF front.accdb;DefaultDir=G:\FMS\RESOURCE\ACCESS\010614 PBPF;DriverId=25;FIL=MS Access;MaxBufferSize=2048;PageTimeout=5;" command="SELECT `11-LHCqryLedgerOACrosstab`.`Transaction Year`, `11-LHCqryLedgerOACrosstab`.`Transaction Type`, `11-LHCqryLedgerOACrosstab`.Number, `11-LHCqryLedgerOACrosstab`.`From`, `11-LHCqryLedgerOACrosstab`.To, `11-LHCqryLedgerOACrosstab`.`Repayment Year`, `11-LHCqryLedgerOACrosstab`.Project8, `11-LHCqryLedgerOACrosstab`.Notes, `11-LHCqryLedgerOACrosstab`.Total, `11-LHCqryLedgerOACrosstab`.CMAQ, `11-LHCqryLedgerOACrosstab`.`CMAQ 25`, `11-LHCqryLedgerOACrosstab`.`HURF Exchange`, `11-LHCqryLedgerOACrosstab`.HSIP, `11-LHCqryLedgerOACrosstab`.PLAN, `11-LHCqryLedgerOACrosstab`.`PLAN SATO`,`11-LHCqryLedgerOACrosstab`.SPR, `11-LHCqryLedgerOACrosstab`.`STP &lt;5`, `11-LHCqryLedgerOACrosstab`.`STP 5-2`, `11-LHCqryLedgerOACrosstab`.`STP 5-50`,`11-LHCqryLedgerOACrosstab`.`STP 50-200`,`11-LHCqryLedgerOACrosstab`.`CRP 50-200`,`11-LHCqryLedgerOACrosstab`.`STP FLEX`, `11-LHCqryLedgerOACrosstab`.`STP &gt;200`, `11-LHCqryLedgerOACrosstab`.`TAP FLEX`, `11-LHCqryLedgerOACrosstab`.`TAP &gt;200`, `11-LHCqryLedgerOACrosstab`.`TAP &lt;5`, `11-LHCqryLedgerOACrosstab`.`TAP 5-2`_x000d__x000a_FROM `G:\FMS\RESOURCE\ACCESS\010614 PBPF\011614 PBPF front.accdb`.`11-LHCqryLedgerOACrosstab` `11-LHCqryLedgerOACrosstab`_x000d__x000a_WHERE (`11-LHCqryLedgerOACrosstab`.Total&lt;&gt;0)"/>
  </connection>
  <connection id="4" xr16:uid="{00000000-0015-0000-FFFF-FFFF03000000}" name="Query from MS Access Database3" type="1" refreshedVersion="8" background="1" saveData="1">
    <dbPr connection="DSN=MS Access Database;DBQ=G:\FMS\RESOURCE\ACCESS\010614 PBPF\011614 PBPF front.accdb;DefaultDir=G:\FMS\RESOURCE\ACCESS\010614 PBPF;DriverId=25;FIL=MS Access;MaxBufferSize=2048;PageTimeout=5;" command="SELECT `11-LHMPO LEDGER`.`ADOT#`, `11-LHMPO LEDGER`.`TIP#`, `11-LHMPO LEDGER`.Sponsor, `11-LHMPO LEDGER`.`Action/15`, `11-LHMPO LEDGER`.Location, `11-LHMPO LEDGER`.RTE, `11-LHMPO LEDGER`.SEC, `11-LHMPO LEDGER`.SEQ, `11-LHMPO LEDGER`.`PB Expected`, `11-LHMPO LEDGER`.`PB Received`, `11-LHMPO LEDGER`.`PF Transmitted`, `11-LHMPO LEDGER`.`Finance Authorization`, `11-LHMPO LEDGER`.`hurf exchange` as `HURF EX`, `11-LHMPO LEDGER`.HSIP, `11-LHMPO LEDGER`.PL,  `11-LHMPO LEDGER`.`PL-SATO`,`11-LHMPO LEDGER`.SPR, `11-LHMPO LEDGER`.`STP &lt;5`, `11-LHMPO LEDGER`.`STP 5-200`,`11-LHMPO LEDGER`.`STP 5-50`,`11-LHMPO LEDGER`.`STP 50-200`,`11-LHMPO LEDGER`.`CRP 50-200`,  `11-LHMPO LEDGER`.`STP OTHER`_x000d__x000a_FROM `G:\FMS\RESOURCE\ACCESS\010614 PBPF\011614 PBPF front.accdb`.`11-LHMPO LEDGER` `11-LHMPO LEDGER`_x000d__x000a_WHERE (`11-LHMPO LEDGER`.`ADOT#` Not Like 'Trick') AND (`11-LHMPO LEDGER`.`Finance Authorization` Is Null) AND ((`11-LHMPO LEDGER`.`PB Expected`&gt;=#10/1/2025# and `PB Expected`&lt;=#9/30/2026#) OR (`11-LHMPO LEDGER`.`PB Received`&gt;=#10/1/2025# and `PB Received`&lt;=#9/30/2026#) OR (`11-LHMPO LEDGER`.`PF Transmitted`&gt;=#10/1/2025# and `PF Transmitted`&lt;=#9/30/2026#))_x000d__x000a_ORDER BY `11-LHMPO LEDGER`.`ADOT#`"/>
  </connection>
</connections>
</file>

<file path=xl/sharedStrings.xml><?xml version="1.0" encoding="utf-8"?>
<sst xmlns="http://schemas.openxmlformats.org/spreadsheetml/2006/main" count="1355" uniqueCount="267">
  <si>
    <t>TIP#</t>
  </si>
  <si>
    <t>ADOT#</t>
  </si>
  <si>
    <t>Location</t>
  </si>
  <si>
    <t>Sponsor</t>
  </si>
  <si>
    <t>HSIP</t>
  </si>
  <si>
    <t>SPR</t>
  </si>
  <si>
    <t>STP other</t>
  </si>
  <si>
    <t>New Auth</t>
  </si>
  <si>
    <t>MPA</t>
  </si>
  <si>
    <t>FV MPA</t>
  </si>
  <si>
    <t>Total</t>
  </si>
  <si>
    <t>Description</t>
  </si>
  <si>
    <t>APPORTIONMENTS /1</t>
  </si>
  <si>
    <t>Number</t>
  </si>
  <si>
    <t>Details</t>
  </si>
  <si>
    <t>FFY OBLIGATION AUTHORITY /2</t>
  </si>
  <si>
    <t>Apportionments represent the amount of federal funding based on formula. Apportionments generally exceed obligation authority (OA), resulting in excess apportionments that cannot be obligated. Over the life of a multi-year federal transportation program authorization, apportionments may accumulate but cannot be utilized unless Congress approves a matching amount of OA. There is no guarantee Congress will  provide the OA necessary to fully utilize apportionments.</t>
  </si>
  <si>
    <t>OA is the amount of authorized apportionments which Congress allows states to obligated in an individual year. This is the amount which FHWA will reimburse.</t>
  </si>
  <si>
    <t>Unobligated OA may be used with any category of apportionments. An equal amount of each is required to obligate funds.</t>
  </si>
  <si>
    <t xml:space="preserve">Because federal regulations require adjustment to the amount authorized within 90 days of a change in costs, finance actions may be required on projects programmed in previous fiscal years. Depending on the type of federal funds involved, these actions may reduce or increase the region's apportionments and/or OA. </t>
  </si>
  <si>
    <t>New Authorization</t>
  </si>
  <si>
    <t>Award MPA</t>
  </si>
  <si>
    <t>Convert AC</t>
  </si>
  <si>
    <t>Other</t>
  </si>
  <si>
    <t>Modified Project Agreement</t>
  </si>
  <si>
    <t>Cancel</t>
  </si>
  <si>
    <t>Project Withdrawn</t>
  </si>
  <si>
    <t>AC Auth</t>
  </si>
  <si>
    <t>Modification (increase or decrease) due to bid award</t>
  </si>
  <si>
    <t>Conversion of advanced construction balances (MAG only)</t>
  </si>
  <si>
    <t>Modification (increase or decrease) required to complete the Final Voucher and fully close the project</t>
  </si>
  <si>
    <t>AC Authorization (MAG only)</t>
  </si>
  <si>
    <t>A transaction type not otherwise listed</t>
  </si>
  <si>
    <t xml:space="preserve">Action types: </t>
  </si>
  <si>
    <t>NOT YET AUTHORIZED</t>
  </si>
  <si>
    <t>"Repayments In" represent loan funds being repaid to the region by another entity. Repayments In increase apportionments and/or OA. See the Apportionment and OA Loan tables for transaction detail.</t>
  </si>
  <si>
    <t>"Loans In" represent funds received by the region from another entity which must be repaid. Loans In increase apportionments and/or OA. See the Apportionment and OA Loan tables for transaction detail.</t>
  </si>
  <si>
    <t>"Loans Out" represent funds being loaned to another entity and which will be repaid to the region based upon a scheduled agreed to in advance by both entities. Loans Out decrease apportionments and/or OA. See the Apportionment and OA Loan tables for transaction detail.</t>
  </si>
  <si>
    <t>"Repayments Out" represent funds which are being repaid to another entity. Repayments Out decrease apportionments and/or OA. See the Apportionment and OA Loan tables for transaction detail.</t>
  </si>
  <si>
    <t>"Transfers  In" represent funds received by the region from another entity which will not be repaid. See the Apportionment and OA Transfer tables for transaction detail.</t>
  </si>
  <si>
    <t>"Transfers  Out" represent funds given by the region to another entity which will not be repaid. See the Apportionment and OA Transfer tables for transaction detail.</t>
  </si>
  <si>
    <t>PL</t>
  </si>
  <si>
    <t>Transaction Year</t>
  </si>
  <si>
    <t>Transaction Type</t>
  </si>
  <si>
    <t>Repayment Year</t>
  </si>
  <si>
    <t>RTE</t>
  </si>
  <si>
    <t>SEC</t>
  </si>
  <si>
    <t>SEQ</t>
  </si>
  <si>
    <t>PB Expected</t>
  </si>
  <si>
    <t>PB Received</t>
  </si>
  <si>
    <t>PF Transmitted</t>
  </si>
  <si>
    <t>Finance Authorization</t>
  </si>
  <si>
    <t>STP OTHER</t>
  </si>
  <si>
    <t>TOTAL</t>
  </si>
  <si>
    <t>SPR /4</t>
  </si>
  <si>
    <t>APPORTIONMENTS</t>
  </si>
  <si>
    <t>OA</t>
  </si>
  <si>
    <t>HSIP/3</t>
  </si>
  <si>
    <t>AUTHORIZED FINANCE ACTIONS /14</t>
  </si>
  <si>
    <t>Processing Status /16</t>
  </si>
  <si>
    <t>Processing Status:</t>
  </si>
  <si>
    <t>Date on which the request is actually received by the Program Budget office</t>
  </si>
  <si>
    <t>Date on which the finance authorization request is expected to be received by the Program Budget office for processing</t>
  </si>
  <si>
    <t>Date on which the project financing is approved by FHWA or the CFO's office as applicable</t>
  </si>
  <si>
    <t>Date on which the request is sent to FHWA (federally funded projects)or the CFO's office (RARF or other non-federal funded projects) for authorization approval</t>
  </si>
  <si>
    <t>Loans In /7</t>
  </si>
  <si>
    <t>Loans Out /8</t>
  </si>
  <si>
    <t>Repayments In /9</t>
  </si>
  <si>
    <t>Repayments Out  /10</t>
  </si>
  <si>
    <t>Transfers In /11</t>
  </si>
  <si>
    <t>Transfers Out /12</t>
  </si>
  <si>
    <t>Remaining Apportionments</t>
  </si>
  <si>
    <t>Total Used</t>
  </si>
  <si>
    <t>LAPSING FUNDS /17</t>
  </si>
  <si>
    <t>CURRENT YEAR FUNDS</t>
  </si>
  <si>
    <t>APPORTIONMENT LOANS, REPAYMENTS AND TRANSFERS /see Notes 7 - 12</t>
  </si>
  <si>
    <t>OA LOANS, REPAYMENTS AND TRANSFERS /see Notes 7 - 12</t>
  </si>
  <si>
    <t>Data as of:</t>
  </si>
  <si>
    <t xml:space="preserve">Federal Aid Regional Loans and Transfers Ledger
</t>
  </si>
  <si>
    <t>Action/15</t>
  </si>
  <si>
    <r>
      <rPr>
        <b/>
        <sz val="11"/>
        <color rgb="FFFF0000"/>
        <rFont val="Arial Unicode MS"/>
        <family val="2"/>
      </rPr>
      <t xml:space="preserve">IMPORTANT! </t>
    </r>
    <r>
      <rPr>
        <sz val="11"/>
        <color theme="1"/>
        <rFont val="Arial Unicode MS"/>
        <family val="2"/>
      </rPr>
      <t>Please review the information in the Notes tab for further explanation of the data in this document.</t>
    </r>
  </si>
  <si>
    <t>From</t>
  </si>
  <si>
    <t>To</t>
  </si>
  <si>
    <t>Project8</t>
  </si>
  <si>
    <t>Notes</t>
  </si>
  <si>
    <t>Loan Out</t>
  </si>
  <si>
    <t>Repayment In</t>
  </si>
  <si>
    <t>ADOT</t>
  </si>
  <si>
    <t>2014</t>
  </si>
  <si>
    <t>2019</t>
  </si>
  <si>
    <t>2016</t>
  </si>
  <si>
    <t>2015</t>
  </si>
  <si>
    <t>Current FFY
Apportionments /5</t>
  </si>
  <si>
    <t>Lapsing</t>
  </si>
  <si>
    <t>2017</t>
  </si>
  <si>
    <t>2018</t>
  </si>
  <si>
    <t>STP &lt;5</t>
  </si>
  <si>
    <t>S</t>
  </si>
  <si>
    <t>P</t>
  </si>
  <si>
    <t>Transfer Out</t>
  </si>
  <si>
    <t>STP 5-2</t>
  </si>
  <si>
    <r>
      <t xml:space="preserve">FFY Total Available 
</t>
    </r>
    <r>
      <rPr>
        <b/>
        <sz val="9"/>
        <color rgb="FFFF0000"/>
        <rFont val="Arial Unicode MS"/>
        <family val="2"/>
      </rPr>
      <t xml:space="preserve">*LAPSES ON 6/30* </t>
    </r>
    <r>
      <rPr>
        <sz val="9"/>
        <rFont val="Arial Unicode MS"/>
        <family val="2"/>
      </rPr>
      <t>/13</t>
    </r>
  </si>
  <si>
    <r>
      <t xml:space="preserve">Carry Forward
</t>
    </r>
    <r>
      <rPr>
        <sz val="9"/>
        <color rgb="FFFF0000"/>
        <rFont val="Arial Unicode MS"/>
        <family val="2"/>
      </rPr>
      <t>*</t>
    </r>
    <r>
      <rPr>
        <b/>
        <sz val="9"/>
        <color rgb="FFFF0000"/>
        <rFont val="Arial Unicode MS"/>
        <family val="2"/>
      </rPr>
      <t>LAPSES ON 6/30*</t>
    </r>
    <r>
      <rPr>
        <b/>
        <sz val="10"/>
        <rFont val="Calibri"/>
        <family val="2"/>
        <scheme val="minor"/>
      </rPr>
      <t/>
    </r>
  </si>
  <si>
    <t>WACOG</t>
  </si>
  <si>
    <t>2020</t>
  </si>
  <si>
    <t>LHMPO-LP01</t>
  </si>
  <si>
    <t>LHMPO</t>
  </si>
  <si>
    <t>LHMPO LAPSING FUNDS - FFY14</t>
  </si>
  <si>
    <t>LHMPO1401</t>
  </si>
  <si>
    <t>HSIP TRANSFER FROM LHMPO TO WACOG</t>
  </si>
  <si>
    <t>LHMPO1402</t>
  </si>
  <si>
    <t>LHMPO LOAN TO WACOG FY 14</t>
  </si>
  <si>
    <t>LHMPO-15L1</t>
  </si>
  <si>
    <t>LHMPO HSIP Loan to WACOG</t>
  </si>
  <si>
    <t>LHMPO LOAN TO WACOG FY 15</t>
  </si>
  <si>
    <t>LHMPOADOT-16L1</t>
  </si>
  <si>
    <t>2017/2018</t>
  </si>
  <si>
    <t>LHMPO HSIP Loan to ADOT</t>
  </si>
  <si>
    <t>LHMPO LOAN TO WACOG FY 16</t>
  </si>
  <si>
    <t>LHMPOADOT-17L1</t>
  </si>
  <si>
    <t>SH650/F0029</t>
  </si>
  <si>
    <t>LHMPO LOAN TO WACOG FY 17</t>
  </si>
  <si>
    <t>LHMPO LOAN TO WACOG FY 18</t>
  </si>
  <si>
    <t>LHMPO LOAN TO WACOG FY 19</t>
  </si>
  <si>
    <t>LHMPO LOAN TO WACOG FY 20</t>
  </si>
  <si>
    <t>LHM</t>
  </si>
  <si>
    <t>Lake Havasu Metropolitan Planning Organization</t>
  </si>
  <si>
    <t>PLAN</t>
  </si>
  <si>
    <t>TAP &lt;5</t>
  </si>
  <si>
    <t>TAP 5-2</t>
  </si>
  <si>
    <t>STP 5-200</t>
  </si>
  <si>
    <t>HURF Exchange</t>
  </si>
  <si>
    <t>HURF Ex</t>
  </si>
  <si>
    <t>HURF EX</t>
  </si>
  <si>
    <t>SZ11401C</t>
  </si>
  <si>
    <t>LHMPO STBGP Loan to ADOT</t>
  </si>
  <si>
    <t>LHMPOADOT-18L2</t>
  </si>
  <si>
    <t>LHMPO SEC</t>
  </si>
  <si>
    <t>LHMPOADOT-18L3</t>
  </si>
  <si>
    <t>SR95 SIGNAL CONSTRUCTION</t>
  </si>
  <si>
    <t>SR95 SIGNAL DESIGN</t>
  </si>
  <si>
    <t>2021</t>
  </si>
  <si>
    <t>LHMPOADOT-18L4</t>
  </si>
  <si>
    <t>LHMPOADOT-19L1</t>
  </si>
  <si>
    <t>FY20 TRAVEL</t>
  </si>
  <si>
    <t>TIP ID# LHM-22-111</t>
  </si>
  <si>
    <t>Loan In</t>
  </si>
  <si>
    <t>ADOTLHMPO-20L1</t>
  </si>
  <si>
    <t>FY20 Shortfall</t>
  </si>
  <si>
    <t>ADOT STBGP Loan to LHMPO</t>
  </si>
  <si>
    <t>Repayment Out</t>
  </si>
  <si>
    <t>LHMPOADOT-20L2</t>
  </si>
  <si>
    <t>Future STBGP</t>
  </si>
  <si>
    <t>LHMPOADOT-20L3</t>
  </si>
  <si>
    <t>LHMPOADOT-21L1</t>
  </si>
  <si>
    <t>2022</t>
  </si>
  <si>
    <t>OA Ratio (OA/apportionments) /1</t>
  </si>
  <si>
    <t>Fund Type</t>
  </si>
  <si>
    <t xml:space="preserve">Program Category </t>
  </si>
  <si>
    <t>Formula</t>
  </si>
  <si>
    <t xml:space="preserve">SPR (Planning) </t>
  </si>
  <si>
    <t xml:space="preserve">SPR (Research) </t>
  </si>
  <si>
    <t xml:space="preserve">Metropolitan Planning </t>
  </si>
  <si>
    <t xml:space="preserve">STP &lt; 5k </t>
  </si>
  <si>
    <t>Total Formula Apportionments</t>
  </si>
  <si>
    <t>Total Formula OA (@94.9%)</t>
  </si>
  <si>
    <t>Statutory</t>
  </si>
  <si>
    <t>Disc</t>
  </si>
  <si>
    <t>LHMPO OA</t>
  </si>
  <si>
    <t>check</t>
  </si>
  <si>
    <t>rounding</t>
  </si>
  <si>
    <t>Lake Havasu MPO Change</t>
  </si>
  <si>
    <t>HSIP is now managed as a competitive program by ADOT.   However,  HSIP funding released off of  projects that were funded from the ledger will be released back onto the ledger.</t>
  </si>
  <si>
    <t>Lake Havasu MPO FFY22</t>
  </si>
  <si>
    <t>LHMPOADOT-22L1</t>
  </si>
  <si>
    <t>Traffic Signal ITS - LHM22-112</t>
  </si>
  <si>
    <t>LHMPOADOT-22L2</t>
  </si>
  <si>
    <t>2023</t>
  </si>
  <si>
    <t>CMAQ</t>
  </si>
  <si>
    <t>CMAQ 25</t>
  </si>
  <si>
    <t>PLAN SATO</t>
  </si>
  <si>
    <t>STP 5-50</t>
  </si>
  <si>
    <t>STP 50-200</t>
  </si>
  <si>
    <t>CRP 50-200</t>
  </si>
  <si>
    <t>STP FLEX</t>
  </si>
  <si>
    <t>STP &gt;200</t>
  </si>
  <si>
    <t>TAP FLEX</t>
  </si>
  <si>
    <t>TAP &gt;200</t>
  </si>
  <si>
    <t>PL-SATO</t>
  </si>
  <si>
    <t>CRP 50--200</t>
  </si>
  <si>
    <t>TOTAL OF AMOUNT</t>
  </si>
  <si>
    <t>DECLINING BALANCE OA</t>
  </si>
  <si>
    <t>Loan CRP for use of future projects</t>
  </si>
  <si>
    <t>Lake Havasu MPO FFY23</t>
  </si>
  <si>
    <t>SPR (State Planning &amp; Research) apportionment availability for approved work program</t>
  </si>
  <si>
    <t>N/A</t>
  </si>
  <si>
    <t>Various</t>
  </si>
  <si>
    <t>LHMPOADOT-23L1</t>
  </si>
  <si>
    <t>2024</t>
  </si>
  <si>
    <t>Future CRP Project TBD</t>
  </si>
  <si>
    <t>LHMPO Loan to ADOT</t>
  </si>
  <si>
    <t>UPWP FY24/25</t>
  </si>
  <si>
    <t>2025</t>
  </si>
  <si>
    <t>Lake Havasu MPO FFY24</t>
  </si>
  <si>
    <t>Please direct questions regarding federal funding ledgers to ADOT Financial Management Services at</t>
  </si>
  <si>
    <t xml:space="preserve"> resourceadmin@azdot.gov.</t>
  </si>
  <si>
    <t>All OA and apportionments are subject to lapse annually on June 30th.</t>
  </si>
  <si>
    <t xml:space="preserve"> LHMPOADOT-24L1</t>
  </si>
  <si>
    <t>Future CRP Project - TBD</t>
  </si>
  <si>
    <t>LHMPO CRP 50-200K Loan to ADOT</t>
  </si>
  <si>
    <t>LHMPO STP 50-200K Loan to ADOT</t>
  </si>
  <si>
    <t>PLH2601P</t>
  </si>
  <si>
    <t>LHMPO FY 2026/FY 2027 WP - SPR</t>
  </si>
  <si>
    <t>026</t>
  </si>
  <si>
    <t>PLH2602P</t>
  </si>
  <si>
    <t>LHMPO FY 2026/FY 2027 WP - PL</t>
  </si>
  <si>
    <t>PLH26S2P</t>
  </si>
  <si>
    <t>LHMPO FY 2026/FY 2027 WP - PL-SATO</t>
  </si>
  <si>
    <t xml:space="preserve"> Please contact ADOT Financial Management Services to coordinate this exchange.  If HSIP funds will be programmed on a project, please be advised that an </t>
  </si>
  <si>
    <t>eligibility letter must be obtained from ADOT's Traffic Safety Group prior to authorization.</t>
  </si>
  <si>
    <t xml:space="preserve">1. Any HSIP apportionments that become available on the ledger as a result of a project close out or other reasons, are eligible to be exchanged for STBG apportionments. </t>
  </si>
  <si>
    <t>FOOTNOTES</t>
  </si>
  <si>
    <t>Lake Havasu MPO FFY25</t>
  </si>
  <si>
    <t>LHMPOADOT-25L1</t>
  </si>
  <si>
    <t>2026</t>
  </si>
  <si>
    <t>Traffic Signal ITS LHM22-122</t>
  </si>
  <si>
    <t>TBD</t>
  </si>
  <si>
    <t>LAKE HAVASU CITY</t>
  </si>
  <si>
    <t>Various Intersections - SR95, Lake Havasu Ave, &amp; Other Intersections</t>
  </si>
  <si>
    <t>T064201C</t>
  </si>
  <si>
    <t>LHM-C25-101</t>
  </si>
  <si>
    <t>State Route 95 - Multi-Use Path Upgrades</t>
  </si>
  <si>
    <t>Planned Lapsing - 06/30/26</t>
  </si>
  <si>
    <t>Lapsed - 07/01/26</t>
  </si>
  <si>
    <t>Planned Lapsing - 09/30/26</t>
  </si>
  <si>
    <t>Carry Forward to FFY 27</t>
  </si>
  <si>
    <t>State FY 26 Approved work program amount</t>
  </si>
  <si>
    <t>State FY 26 amount authorized prior to 09/30/25 or Lapsed funding</t>
  </si>
  <si>
    <t>State FY 26 amount available for authorization 10/01/25 - 06/30/26</t>
  </si>
  <si>
    <t>State FY 27 amount available for authorization 07/1/26 - 09/30/26 (request must be submitted by 09/01/26)</t>
  </si>
  <si>
    <t>Total SPR apportionments for Federal Fiscal Year 26 (as shown on ledger)</t>
  </si>
  <si>
    <t>The FFY 26 OA limitation ratio for the State is XX.X%.  The rate for calculations in FY 2026 for the ledgers will be 0.949.  This rate is subject to change in future fiscal years.</t>
  </si>
  <si>
    <t>Federal Fiscal Year 2026</t>
  </si>
  <si>
    <t>Lake Havasu MPO FFY26 Est.</t>
  </si>
  <si>
    <r>
      <t xml:space="preserve">LAPSING FUNDS:  </t>
    </r>
    <r>
      <rPr>
        <sz val="11"/>
        <rFont val="Calibri"/>
        <family val="2"/>
        <scheme val="minor"/>
      </rPr>
      <t xml:space="preserve">Carried forward apportionments and obligation authority lapse pursuant to the following schedule:
</t>
    </r>
    <r>
      <rPr>
        <sz val="8"/>
        <rFont val="Wingdings"/>
        <charset val="2"/>
      </rPr>
      <t>t</t>
    </r>
    <r>
      <rPr>
        <sz val="11"/>
        <rFont val="Calibri"/>
        <family val="2"/>
        <scheme val="minor"/>
      </rPr>
      <t xml:space="preserve">   Remaining OA lapses annually on 6/30.
</t>
    </r>
    <r>
      <rPr>
        <sz val="8"/>
        <rFont val="Wingdings"/>
        <charset val="2"/>
      </rPr>
      <t xml:space="preserve">t </t>
    </r>
    <r>
      <rPr>
        <sz val="11"/>
        <rFont val="Calibri"/>
        <family val="2"/>
        <scheme val="minor"/>
      </rPr>
      <t>Remaining Apportionments lapse annually on 6/30 with the exception of apportionments for CMAQ, TA, CRP over 200K and STP over 200K in MAG and PAG, and CRP 50-200K for MPOs and TMAs.</t>
    </r>
    <r>
      <rPr>
        <sz val="11"/>
        <rFont val="Calibri Light"/>
        <family val="2"/>
        <scheme val="major"/>
      </rPr>
      <t xml:space="preserve">
</t>
    </r>
  </si>
  <si>
    <t xml:space="preserve">Federal Aid Transaction Ledger
</t>
  </si>
  <si>
    <t>PLH2402P</t>
  </si>
  <si>
    <t>LHMPO FY24 / FY25 WP - PL</t>
  </si>
  <si>
    <t>024</t>
  </si>
  <si>
    <t>PLH2403P</t>
  </si>
  <si>
    <t>LHMPO FY 2024/FY2025 WP - STBG</t>
  </si>
  <si>
    <t>T</t>
  </si>
  <si>
    <t>PLH2603P</t>
  </si>
  <si>
    <t>MOHAVE CO-LHMPO</t>
  </si>
  <si>
    <t>LHMPO FY 2026/FY 2027 WP -  Traffic Signal Modeling &amp; Analysis Study</t>
  </si>
  <si>
    <t>2. This ledger does not track Transit funding. Transit Consolidated Planning Grant (CPG) funding will be added as a footnote here upon receipt of FFY26 allocations.</t>
  </si>
  <si>
    <t>PLH2605P</t>
  </si>
  <si>
    <t>Lake Havasu Metropolitan Planning Organization (LHMPO): FY26/27 Metropolitan Planning (CRP) funds Work Program and Budget</t>
  </si>
  <si>
    <t>C</t>
  </si>
  <si>
    <t>PLH2401P</t>
  </si>
  <si>
    <t>LHMPO FY 2024/FY 2025 WP - SPR</t>
  </si>
  <si>
    <t>LHM 22-112C</t>
  </si>
  <si>
    <t>102318/LHM 22-112C</t>
  </si>
  <si>
    <t>LHM 22-112D</t>
  </si>
  <si>
    <t>102318/LHM 22-112D</t>
  </si>
  <si>
    <t>LHM 26-101</t>
  </si>
  <si>
    <t>3 Traffic Signals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</si>
</sst>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mm/dd/yy;@"/>
    <numFmt numFmtId="165" formatCode="mm/dd/yyyy"/>
    <numFmt numFmtId="166" formatCode="m/d/yy;@"/>
  </numFmts>
  <fonts count="50">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0"/>
      <color indexed="8"/>
      <name val="Arial"/>
      <family val="2"/>
    </font>
    <font>
      <sz val="11"/>
      <color indexed="8"/>
      <name val="Calibri"/>
      <family val="2"/>
    </font>
    <font>
      <b/>
      <sz val="10"/>
      <name val="Calibri"/>
      <family val="2"/>
      <scheme val="minor"/>
    </font>
    <font>
      <b/>
      <sz val="11"/>
      <color indexed="8"/>
      <name val="Calibri"/>
      <family val="2"/>
    </font>
    <font>
      <sz val="11"/>
      <color theme="1"/>
      <name val="Calibri"/>
      <family val="2"/>
      <scheme val="minor"/>
    </font>
    <font>
      <sz val="11"/>
      <color theme="1"/>
      <name val="Arial Unicode MS"/>
      <family val="2"/>
    </font>
    <font>
      <b/>
      <sz val="16"/>
      <color rgb="FFFF0000"/>
      <name val="Arial Unicode MS"/>
      <family val="2"/>
    </font>
    <font>
      <b/>
      <sz val="11"/>
      <color theme="1"/>
      <name val="Arial Unicode MS"/>
      <family val="2"/>
    </font>
    <font>
      <b/>
      <sz val="10"/>
      <color theme="0"/>
      <name val="Arial Unicode MS"/>
      <family val="2"/>
    </font>
    <font>
      <b/>
      <sz val="9"/>
      <color theme="0"/>
      <name val="Arial Unicode MS"/>
      <family val="2"/>
    </font>
    <font>
      <b/>
      <sz val="9"/>
      <name val="Arial Unicode MS"/>
      <family val="2"/>
    </font>
    <font>
      <sz val="9"/>
      <color theme="1"/>
      <name val="Arial Unicode MS"/>
      <family val="2"/>
    </font>
    <font>
      <sz val="9"/>
      <color rgb="FFFF0000"/>
      <name val="Arial Unicode MS"/>
      <family val="2"/>
    </font>
    <font>
      <b/>
      <sz val="9"/>
      <color rgb="FFFF0000"/>
      <name val="Arial Unicode MS"/>
      <family val="2"/>
    </font>
    <font>
      <b/>
      <sz val="10"/>
      <color theme="1"/>
      <name val="Arial Unicode MS"/>
      <family val="2"/>
    </font>
    <font>
      <sz val="10"/>
      <color theme="1"/>
      <name val="Arial Unicode MS"/>
      <family val="2"/>
    </font>
    <font>
      <b/>
      <sz val="11"/>
      <color rgb="FFFF0000"/>
      <name val="Arial Unicode MS"/>
      <family val="2"/>
    </font>
    <font>
      <b/>
      <sz val="9"/>
      <color theme="1"/>
      <name val="Arial Unicode MS"/>
      <family val="2"/>
    </font>
    <font>
      <sz val="9"/>
      <name val="Arial Unicode MS"/>
      <family val="2"/>
    </font>
    <font>
      <b/>
      <sz val="12"/>
      <name val="Arial Unicode MS"/>
      <family val="2"/>
    </font>
    <font>
      <b/>
      <sz val="10"/>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2"/>
      <name val="Times New Roman"/>
      <family val="1"/>
    </font>
    <font>
      <sz val="8"/>
      <name val="Arial"/>
      <family val="2"/>
    </font>
    <font>
      <sz val="10"/>
      <color rgb="FF000000"/>
      <name val="Arial"/>
      <family val="2"/>
    </font>
    <font>
      <sz val="11"/>
      <color theme="1"/>
      <name val="Calibri"/>
      <family val="2"/>
      <scheme val="minor"/>
    </font>
    <font>
      <sz val="9"/>
      <color theme="1"/>
      <name val="Arial Unicode MS"/>
      <family val="2"/>
    </font>
    <font>
      <sz val="11"/>
      <color theme="1"/>
      <name val="Calibri"/>
      <family val="2"/>
      <scheme val="minor"/>
    </font>
    <font>
      <sz val="11"/>
      <color rgb="FFFF0000"/>
      <name val="Arial Unicode MS"/>
      <family val="2"/>
    </font>
    <font>
      <sz val="11"/>
      <color theme="1"/>
      <name val="Calibri"/>
      <family val="2"/>
      <scheme val="minor"/>
    </font>
    <font>
      <b/>
      <u/>
      <sz val="11"/>
      <color theme="1"/>
      <name val="Arial Unicode MS"/>
      <family val="2"/>
    </font>
    <font>
      <sz val="11"/>
      <color theme="1"/>
      <name val="Calibri"/>
      <family val="2"/>
      <scheme val="minor"/>
    </font>
    <font>
      <b/>
      <sz val="11"/>
      <color rgb="FFFF0000"/>
      <name val="Calibri"/>
      <family val="2"/>
      <scheme val="minor"/>
    </font>
    <font>
      <sz val="8"/>
      <name val="Wingdings"/>
      <charset val="2"/>
    </font>
    <font>
      <sz val="11"/>
      <name val="Calibri Light"/>
      <family val="2"/>
      <scheme val="major"/>
    </font>
  </fonts>
  <fills count="12">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39994506668294322"/>
        <bgColor indexed="64"/>
      </patternFill>
    </fill>
    <fill>
      <patternFill patternType="solid">
        <fgColor theme="4" tint="0.39994506668294322"/>
        <bgColor theme="8"/>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39997558519241921"/>
        <bgColor theme="8"/>
      </patternFill>
    </fill>
    <fill>
      <patternFill patternType="solid">
        <fgColor theme="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0" fontId="34" fillId="0" borderId="0"/>
    <xf numFmtId="0" fontId="34" fillId="0" borderId="0"/>
    <xf numFmtId="43" fontId="34" fillId="0" borderId="0" applyFont="0" applyFill="0" applyBorder="0" applyAlignment="0" applyProtection="0"/>
    <xf numFmtId="0" fontId="34" fillId="0" borderId="0"/>
    <xf numFmtId="0" fontId="37" fillId="0" borderId="0"/>
    <xf numFmtId="0" fontId="38" fillId="0" borderId="0"/>
    <xf numFmtId="43" fontId="38"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0" fontId="39" fillId="0" borderId="0"/>
    <xf numFmtId="0" fontId="34" fillId="0" borderId="0"/>
    <xf numFmtId="0" fontId="39" fillId="0" borderId="0"/>
    <xf numFmtId="0" fontId="3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 fillId="0" borderId="0"/>
    <xf numFmtId="0" fontId="39" fillId="0" borderId="0"/>
    <xf numFmtId="0" fontId="34" fillId="0" borderId="0"/>
    <xf numFmtId="0" fontId="39" fillId="0" borderId="0"/>
    <xf numFmtId="0" fontId="34" fillId="0" borderId="0"/>
    <xf numFmtId="0" fontId="39" fillId="0" borderId="0"/>
    <xf numFmtId="0" fontId="39" fillId="0" borderId="0"/>
    <xf numFmtId="0" fontId="34" fillId="0" borderId="0"/>
    <xf numFmtId="0" fontId="39" fillId="0" borderId="0"/>
    <xf numFmtId="9" fontId="1" fillId="0" borderId="0" applyFont="0" applyFill="0" applyBorder="0" applyAlignment="0" applyProtection="0"/>
    <xf numFmtId="9" fontId="34" fillId="0" borderId="0" applyFont="0" applyFill="0" applyBorder="0" applyAlignment="0" applyProtection="0"/>
    <xf numFmtId="0" fontId="34" fillId="0" borderId="0"/>
    <xf numFmtId="9" fontId="1" fillId="0" borderId="0" applyFont="0" applyFill="0" applyBorder="0" applyAlignment="0" applyProtection="0"/>
  </cellStyleXfs>
  <cellXfs count="235">
    <xf numFmtId="0" fontId="0" fillId="0" borderId="0" xfId="0"/>
    <xf numFmtId="0" fontId="0" fillId="0" borderId="0" xfId="0" applyAlignment="1">
      <alignment horizontal="center" vertical="top"/>
    </xf>
    <xf numFmtId="0" fontId="0" fillId="0" borderId="0" xfId="0" applyAlignment="1">
      <alignment horizontal="left" indent="2"/>
    </xf>
    <xf numFmtId="0" fontId="0" fillId="0" borderId="0" xfId="0" applyAlignment="1">
      <alignment horizontal="left" vertical="top" wrapText="1"/>
    </xf>
    <xf numFmtId="0" fontId="2" fillId="0" borderId="0" xfId="0" applyFont="1" applyAlignment="1">
      <alignment horizontal="center" vertical="top"/>
    </xf>
    <xf numFmtId="0" fontId="7" fillId="0" borderId="0" xfId="2"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8" fontId="0" fillId="0" borderId="12" xfId="1" applyNumberFormat="1" applyFont="1" applyBorder="1" applyAlignment="1">
      <alignment vertical="top" wrapText="1"/>
    </xf>
    <xf numFmtId="8" fontId="0" fillId="0" borderId="0" xfId="1" applyNumberFormat="1" applyFont="1" applyBorder="1" applyAlignment="1">
      <alignment vertical="top" wrapText="1"/>
    </xf>
    <xf numFmtId="8" fontId="2" fillId="3" borderId="0" xfId="1" applyNumberFormat="1" applyFont="1" applyFill="1" applyBorder="1" applyAlignment="1">
      <alignment vertical="top" wrapText="1"/>
    </xf>
    <xf numFmtId="8" fontId="0" fillId="3" borderId="0" xfId="1" applyNumberFormat="1" applyFont="1" applyFill="1" applyBorder="1" applyAlignment="1">
      <alignment vertical="top" wrapText="1"/>
    </xf>
    <xf numFmtId="8" fontId="0" fillId="3" borderId="0" xfId="1" applyNumberFormat="1" applyFont="1" applyFill="1" applyAlignment="1">
      <alignment vertical="top" wrapText="1"/>
    </xf>
    <xf numFmtId="0" fontId="7" fillId="3" borderId="0" xfId="2" applyFont="1" applyFill="1" applyAlignment="1">
      <alignment vertical="top" wrapText="1"/>
    </xf>
    <xf numFmtId="8" fontId="0" fillId="0" borderId="0" xfId="1" applyNumberFormat="1" applyFont="1" applyFill="1" applyAlignment="1">
      <alignment vertical="top" wrapText="1"/>
    </xf>
    <xf numFmtId="0" fontId="9" fillId="0" borderId="0" xfId="2" applyFont="1" applyAlignment="1">
      <alignment vertical="top" wrapText="1"/>
    </xf>
    <xf numFmtId="43" fontId="0" fillId="0" borderId="0" xfId="3" applyFont="1"/>
    <xf numFmtId="43" fontId="0" fillId="0" borderId="0" xfId="3" applyFont="1" applyAlignment="1">
      <alignment wrapText="1"/>
    </xf>
    <xf numFmtId="43" fontId="0" fillId="0" borderId="0" xfId="3" applyFont="1" applyAlignment="1">
      <alignment vertical="top" wrapText="1"/>
    </xf>
    <xf numFmtId="43" fontId="2" fillId="0" borderId="0" xfId="3" applyFont="1" applyAlignment="1">
      <alignment horizontal="left" vertical="top" wrapText="1"/>
    </xf>
    <xf numFmtId="43" fontId="0" fillId="0" borderId="0" xfId="3" applyFont="1" applyBorder="1" applyAlignment="1">
      <alignment vertical="top" wrapText="1"/>
    </xf>
    <xf numFmtId="43" fontId="4" fillId="0" borderId="0" xfId="3" applyFont="1" applyBorder="1" applyAlignment="1">
      <alignment horizontal="left" vertical="top" wrapText="1"/>
    </xf>
    <xf numFmtId="43" fontId="0" fillId="0" borderId="0" xfId="3" applyFont="1" applyBorder="1"/>
    <xf numFmtId="43" fontId="0" fillId="0" borderId="0" xfId="3" applyFont="1" applyBorder="1" applyAlignment="1">
      <alignment wrapText="1"/>
    </xf>
    <xf numFmtId="0" fontId="11" fillId="0" borderId="0" xfId="0" applyFont="1" applyAlignment="1">
      <alignment vertical="top" wrapText="1"/>
    </xf>
    <xf numFmtId="14" fontId="11" fillId="0" borderId="0" xfId="0" applyNumberFormat="1" applyFont="1" applyAlignment="1">
      <alignment vertical="top" wrapText="1"/>
    </xf>
    <xf numFmtId="14" fontId="12" fillId="0" borderId="0" xfId="0" applyNumberFormat="1" applyFont="1" applyAlignment="1">
      <alignment horizontal="center" vertical="center" wrapText="1"/>
    </xf>
    <xf numFmtId="40" fontId="11" fillId="0" borderId="0" xfId="0" applyNumberFormat="1" applyFont="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40" fontId="21" fillId="0" borderId="0" xfId="0" applyNumberFormat="1" applyFont="1" applyAlignment="1">
      <alignment vertical="top" wrapText="1"/>
    </xf>
    <xf numFmtId="14" fontId="11" fillId="0" borderId="0" xfId="0" applyNumberFormat="1" applyFont="1" applyAlignment="1">
      <alignment horizontal="left" vertical="center" wrapText="1"/>
    </xf>
    <xf numFmtId="0" fontId="11" fillId="0" borderId="0" xfId="0" applyFont="1" applyAlignment="1">
      <alignment horizontal="left" vertical="top" wrapText="1"/>
    </xf>
    <xf numFmtId="40" fontId="20" fillId="0" borderId="0" xfId="0" applyNumberFormat="1" applyFont="1" applyAlignment="1">
      <alignment horizontal="left" vertical="top" wrapText="1"/>
    </xf>
    <xf numFmtId="40" fontId="20" fillId="0" borderId="0" xfId="0" applyNumberFormat="1" applyFont="1" applyAlignment="1">
      <alignment horizontal="right" vertical="top" wrapText="1"/>
    </xf>
    <xf numFmtId="40" fontId="13" fillId="0" borderId="0" xfId="0" applyNumberFormat="1" applyFont="1" applyAlignment="1">
      <alignment vertical="top" wrapText="1"/>
    </xf>
    <xf numFmtId="40" fontId="15" fillId="0" borderId="0" xfId="0" applyNumberFormat="1" applyFont="1" applyAlignment="1">
      <alignment horizontal="center" vertical="center" wrapText="1"/>
    </xf>
    <xf numFmtId="40" fontId="14" fillId="0" borderId="0" xfId="0" applyNumberFormat="1" applyFont="1" applyAlignment="1">
      <alignment horizontal="center" vertical="center" wrapText="1"/>
    </xf>
    <xf numFmtId="0" fontId="17" fillId="0" borderId="0" xfId="0" applyFont="1" applyAlignment="1">
      <alignment vertical="top" wrapText="1"/>
    </xf>
    <xf numFmtId="0" fontId="21" fillId="0" borderId="0" xfId="0" applyFont="1" applyAlignment="1">
      <alignment vertical="top" wrapText="1"/>
    </xf>
    <xf numFmtId="0" fontId="21" fillId="0" borderId="0" xfId="0" applyFont="1" applyAlignment="1">
      <alignment horizontal="center" vertical="center" wrapText="1"/>
    </xf>
    <xf numFmtId="40" fontId="21" fillId="0" borderId="0" xfId="0" applyNumberFormat="1" applyFont="1"/>
    <xf numFmtId="40" fontId="21" fillId="0" borderId="0" xfId="0" applyNumberFormat="1" applyFont="1" applyAlignment="1">
      <alignment horizontal="center" vertical="center" wrapText="1"/>
    </xf>
    <xf numFmtId="40" fontId="17" fillId="0" borderId="0" xfId="0" applyNumberFormat="1" applyFont="1" applyAlignment="1">
      <alignment vertical="top" wrapText="1"/>
    </xf>
    <xf numFmtId="43" fontId="0" fillId="0" borderId="1" xfId="3" applyFont="1" applyBorder="1"/>
    <xf numFmtId="43" fontId="10" fillId="0" borderId="1" xfId="3" applyFont="1" applyBorder="1"/>
    <xf numFmtId="43" fontId="0" fillId="0" borderId="10" xfId="3" applyFont="1" applyBorder="1"/>
    <xf numFmtId="43" fontId="10" fillId="0" borderId="10" xfId="3" applyFont="1" applyBorder="1"/>
    <xf numFmtId="43" fontId="10" fillId="0" borderId="2" xfId="3" applyFont="1" applyBorder="1"/>
    <xf numFmtId="43" fontId="10" fillId="0" borderId="11" xfId="3" applyFont="1" applyBorder="1"/>
    <xf numFmtId="43" fontId="10" fillId="0" borderId="6" xfId="3" applyFont="1" applyBorder="1"/>
    <xf numFmtId="43" fontId="10" fillId="0" borderId="7" xfId="3" applyFont="1" applyBorder="1"/>
    <xf numFmtId="14" fontId="0" fillId="0" borderId="0" xfId="3" applyNumberFormat="1" applyFont="1" applyAlignment="1">
      <alignment horizontal="left" vertical="center" wrapText="1"/>
    </xf>
    <xf numFmtId="14" fontId="11" fillId="0" borderId="0" xfId="0" applyNumberFormat="1" applyFont="1" applyAlignment="1">
      <alignment vertical="center" wrapText="1"/>
    </xf>
    <xf numFmtId="43" fontId="10" fillId="0" borderId="0" xfId="3" applyFont="1" applyBorder="1"/>
    <xf numFmtId="43" fontId="0" fillId="0" borderId="8" xfId="3" applyFont="1" applyBorder="1"/>
    <xf numFmtId="43" fontId="0" fillId="0" borderId="5" xfId="3" applyFont="1" applyBorder="1"/>
    <xf numFmtId="43" fontId="0" fillId="0" borderId="9" xfId="3" applyFont="1" applyBorder="1"/>
    <xf numFmtId="40" fontId="24" fillId="0" borderId="0" xfId="0" applyNumberFormat="1" applyFont="1" applyAlignment="1">
      <alignment horizontal="left" vertical="top" wrapText="1"/>
    </xf>
    <xf numFmtId="40" fontId="17" fillId="0" borderId="0" xfId="0" applyNumberFormat="1" applyFont="1" applyAlignment="1">
      <alignment horizontal="center" vertical="center" wrapText="1"/>
    </xf>
    <xf numFmtId="14" fontId="17" fillId="0" borderId="0" xfId="0" applyNumberFormat="1" applyFont="1" applyAlignment="1">
      <alignment horizontal="center" vertical="center"/>
    </xf>
    <xf numFmtId="40" fontId="17" fillId="0" borderId="0" xfId="0" applyNumberFormat="1" applyFont="1" applyAlignment="1">
      <alignment horizontal="center" vertical="center"/>
    </xf>
    <xf numFmtId="43" fontId="11" fillId="0" borderId="0" xfId="3" applyFont="1" applyAlignment="1">
      <alignment vertical="top" wrapText="1"/>
    </xf>
    <xf numFmtId="43" fontId="27" fillId="0" borderId="0" xfId="3" applyFont="1"/>
    <xf numFmtId="43" fontId="27" fillId="0" borderId="10" xfId="3" applyFont="1" applyBorder="1"/>
    <xf numFmtId="43" fontId="27" fillId="0" borderId="1" xfId="3" applyFont="1" applyBorder="1"/>
    <xf numFmtId="43" fontId="27" fillId="0" borderId="2" xfId="3" applyFont="1" applyBorder="1"/>
    <xf numFmtId="0" fontId="17" fillId="0" borderId="0" xfId="0" applyFont="1" applyAlignment="1">
      <alignment horizontal="center" vertical="center" wrapText="1"/>
    </xf>
    <xf numFmtId="0" fontId="11" fillId="0" borderId="0" xfId="0" applyFont="1" applyAlignment="1">
      <alignment horizontal="left" vertical="center"/>
    </xf>
    <xf numFmtId="14" fontId="19" fillId="0" borderId="0" xfId="0" applyNumberFormat="1" applyFont="1" applyAlignment="1">
      <alignment horizontal="right" vertical="top"/>
    </xf>
    <xf numFmtId="14" fontId="23" fillId="0" borderId="0" xfId="0" applyNumberFormat="1" applyFont="1" applyAlignment="1">
      <alignment horizontal="right" vertical="top"/>
    </xf>
    <xf numFmtId="40" fontId="17" fillId="0" borderId="1" xfId="0" applyNumberFormat="1" applyFont="1" applyBorder="1" applyAlignment="1">
      <alignment horizontal="right" vertical="top"/>
    </xf>
    <xf numFmtId="40" fontId="17" fillId="0" borderId="0" xfId="0" applyNumberFormat="1" applyFont="1" applyAlignment="1">
      <alignment vertical="top"/>
    </xf>
    <xf numFmtId="40" fontId="17" fillId="0" borderId="1" xfId="0" applyNumberFormat="1" applyFont="1" applyBorder="1" applyAlignment="1">
      <alignment vertical="top"/>
    </xf>
    <xf numFmtId="14" fontId="23" fillId="2" borderId="6" xfId="0" applyNumberFormat="1" applyFont="1" applyFill="1" applyBorder="1" applyAlignment="1">
      <alignment horizontal="center" vertical="center" wrapText="1"/>
    </xf>
    <xf numFmtId="43" fontId="28" fillId="0" borderId="0" xfId="3" applyFont="1"/>
    <xf numFmtId="43" fontId="28" fillId="0" borderId="11" xfId="3" applyFont="1" applyBorder="1"/>
    <xf numFmtId="43" fontId="28" fillId="0" borderId="15" xfId="3" applyFont="1" applyBorder="1"/>
    <xf numFmtId="43" fontId="28" fillId="0" borderId="6" xfId="3" applyFont="1" applyBorder="1"/>
    <xf numFmtId="43" fontId="28" fillId="0" borderId="16" xfId="3" applyFont="1" applyBorder="1"/>
    <xf numFmtId="43" fontId="28" fillId="0" borderId="7" xfId="3" applyFont="1" applyBorder="1"/>
    <xf numFmtId="43" fontId="28" fillId="0" borderId="14" xfId="3" applyFont="1" applyBorder="1"/>
    <xf numFmtId="43" fontId="29" fillId="0" borderId="0" xfId="3" applyFont="1"/>
    <xf numFmtId="43" fontId="29" fillId="0" borderId="11" xfId="3" applyFont="1" applyBorder="1"/>
    <xf numFmtId="43" fontId="29" fillId="0" borderId="6" xfId="3" applyFont="1" applyBorder="1"/>
    <xf numFmtId="43" fontId="29" fillId="0" borderId="7" xfId="3" applyFont="1" applyBorder="1"/>
    <xf numFmtId="43" fontId="29" fillId="0" borderId="15" xfId="3" applyFont="1" applyBorder="1"/>
    <xf numFmtId="43" fontId="29" fillId="0" borderId="16" xfId="3" applyFont="1" applyBorder="1"/>
    <xf numFmtId="43" fontId="29" fillId="0" borderId="14" xfId="3" applyFont="1" applyBorder="1"/>
    <xf numFmtId="43" fontId="0" fillId="0" borderId="11" xfId="3" applyFont="1" applyBorder="1"/>
    <xf numFmtId="43" fontId="0" fillId="0" borderId="15" xfId="3" applyFont="1" applyBorder="1"/>
    <xf numFmtId="43" fontId="0" fillId="0" borderId="6" xfId="3" applyFont="1" applyBorder="1"/>
    <xf numFmtId="43" fontId="0" fillId="0" borderId="16" xfId="3" applyFont="1" applyBorder="1"/>
    <xf numFmtId="43" fontId="0" fillId="0" borderId="7" xfId="3" applyFont="1" applyBorder="1"/>
    <xf numFmtId="43" fontId="0" fillId="0" borderId="14" xfId="3" applyFont="1" applyBorder="1"/>
    <xf numFmtId="43" fontId="30" fillId="0" borderId="0" xfId="3" applyFont="1"/>
    <xf numFmtId="14" fontId="17" fillId="0" borderId="0" xfId="0" applyNumberFormat="1" applyFont="1" applyAlignment="1">
      <alignment horizontal="center" vertical="center" wrapText="1"/>
    </xf>
    <xf numFmtId="0" fontId="17" fillId="0" borderId="0" xfId="0" applyFont="1" applyAlignment="1">
      <alignment horizontal="center" vertical="top" wrapText="1"/>
    </xf>
    <xf numFmtId="40" fontId="24" fillId="0" borderId="0" xfId="0" applyNumberFormat="1" applyFont="1" applyAlignment="1">
      <alignment horizontal="center" vertical="top" wrapText="1"/>
    </xf>
    <xf numFmtId="40" fontId="17" fillId="4" borderId="1" xfId="0" applyNumberFormat="1" applyFont="1" applyFill="1" applyBorder="1" applyAlignment="1">
      <alignment horizontal="right" vertical="top"/>
    </xf>
    <xf numFmtId="40" fontId="16" fillId="5" borderId="6" xfId="0" applyNumberFormat="1" applyFont="1" applyFill="1" applyBorder="1" applyAlignment="1">
      <alignment horizontal="center" vertical="center" wrapText="1"/>
    </xf>
    <xf numFmtId="40" fontId="24" fillId="0" borderId="0" xfId="0" applyNumberFormat="1" applyFont="1" applyAlignment="1">
      <alignment vertical="top"/>
    </xf>
    <xf numFmtId="40" fontId="24" fillId="0" borderId="0" xfId="0" applyNumberFormat="1" applyFont="1" applyAlignment="1">
      <alignment vertical="top" wrapText="1"/>
    </xf>
    <xf numFmtId="164" fontId="24" fillId="0" borderId="0" xfId="0" applyNumberFormat="1" applyFont="1" applyAlignment="1">
      <alignment horizontal="center" vertical="top"/>
    </xf>
    <xf numFmtId="43" fontId="31" fillId="0" borderId="0" xfId="3" applyFont="1"/>
    <xf numFmtId="164" fontId="24" fillId="0" borderId="0" xfId="0" applyNumberFormat="1" applyFont="1" applyAlignment="1">
      <alignment vertical="top"/>
    </xf>
    <xf numFmtId="43" fontId="32" fillId="0" borderId="0" xfId="3" applyFont="1"/>
    <xf numFmtId="43" fontId="33" fillId="0" borderId="0" xfId="3" applyFont="1"/>
    <xf numFmtId="14" fontId="16" fillId="0" borderId="7" xfId="1" applyNumberFormat="1" applyFont="1" applyBorder="1" applyAlignment="1">
      <alignment horizontal="center" vertical="center" wrapText="1"/>
    </xf>
    <xf numFmtId="14" fontId="16" fillId="0" borderId="18" xfId="1" applyNumberFormat="1" applyFont="1" applyBorder="1" applyAlignment="1">
      <alignment horizontal="center" vertical="center" wrapText="1"/>
    </xf>
    <xf numFmtId="40" fontId="16" fillId="0" borderId="7" xfId="1" applyNumberFormat="1" applyFont="1" applyBorder="1" applyAlignment="1">
      <alignment horizontal="center" vertical="center" wrapText="1"/>
    </xf>
    <xf numFmtId="14" fontId="17" fillId="4" borderId="7" xfId="0" applyNumberFormat="1" applyFont="1" applyFill="1" applyBorder="1" applyAlignment="1">
      <alignment horizontal="left" vertical="top" wrapText="1"/>
    </xf>
    <xf numFmtId="14" fontId="17" fillId="0" borderId="7" xfId="0" applyNumberFormat="1" applyFont="1" applyBorder="1" applyAlignment="1">
      <alignment horizontal="left" vertical="top" wrapText="1"/>
    </xf>
    <xf numFmtId="40" fontId="17" fillId="0" borderId="18" xfId="0" applyNumberFormat="1" applyFont="1" applyBorder="1" applyAlignment="1">
      <alignment horizontal="right" vertical="top"/>
    </xf>
    <xf numFmtId="40" fontId="17" fillId="0" borderId="7" xfId="0" applyNumberFormat="1" applyFont="1" applyBorder="1" applyAlignment="1">
      <alignment horizontal="right" vertical="top"/>
    </xf>
    <xf numFmtId="14" fontId="23" fillId="4" borderId="2" xfId="0" applyNumberFormat="1" applyFont="1" applyFill="1" applyBorder="1" applyAlignment="1">
      <alignment horizontal="left" vertical="top" wrapText="1"/>
    </xf>
    <xf numFmtId="40" fontId="23" fillId="4" borderId="19" xfId="0" applyNumberFormat="1" applyFont="1" applyFill="1" applyBorder="1" applyAlignment="1">
      <alignment horizontal="right" vertical="top"/>
    </xf>
    <xf numFmtId="38" fontId="35" fillId="0" borderId="25" xfId="0" applyNumberFormat="1" applyFont="1" applyBorder="1" applyAlignment="1">
      <alignment horizontal="center" vertical="center" wrapText="1"/>
    </xf>
    <xf numFmtId="38" fontId="35" fillId="6" borderId="17" xfId="0" applyNumberFormat="1" applyFont="1" applyFill="1" applyBorder="1" applyAlignment="1">
      <alignment horizontal="center" vertical="center" wrapText="1"/>
    </xf>
    <xf numFmtId="38" fontId="35" fillId="0" borderId="3" xfId="0" applyNumberFormat="1" applyFont="1" applyBorder="1" applyAlignment="1">
      <alignment vertical="top"/>
    </xf>
    <xf numFmtId="0" fontId="35" fillId="0" borderId="1" xfId="0" applyFont="1" applyBorder="1" applyAlignment="1">
      <alignment vertical="top" wrapText="1"/>
    </xf>
    <xf numFmtId="38" fontId="36" fillId="0" borderId="1" xfId="0" applyNumberFormat="1" applyFont="1" applyBorder="1" applyAlignment="1">
      <alignment horizontal="right" vertical="center"/>
    </xf>
    <xf numFmtId="38" fontId="35" fillId="0" borderId="1" xfId="0" applyNumberFormat="1" applyFont="1" applyBorder="1" applyAlignment="1">
      <alignment vertical="top"/>
    </xf>
    <xf numFmtId="38" fontId="35" fillId="0" borderId="4" xfId="0" applyNumberFormat="1" applyFont="1" applyBorder="1" applyAlignment="1">
      <alignment vertical="top"/>
    </xf>
    <xf numFmtId="38" fontId="35" fillId="0" borderId="10" xfId="0" applyNumberFormat="1" applyFont="1" applyBorder="1" applyAlignment="1">
      <alignment horizontal="right" vertical="top"/>
    </xf>
    <xf numFmtId="38" fontId="35" fillId="0" borderId="20" xfId="0" applyNumberFormat="1" applyFont="1" applyBorder="1" applyAlignment="1">
      <alignment vertical="top"/>
    </xf>
    <xf numFmtId="38" fontId="35" fillId="7" borderId="3" xfId="3" applyNumberFormat="1" applyFont="1" applyFill="1" applyBorder="1" applyAlignment="1">
      <alignment horizontal="center" vertical="center"/>
    </xf>
    <xf numFmtId="38" fontId="35" fillId="7" borderId="1" xfId="3" applyNumberFormat="1" applyFont="1" applyFill="1" applyBorder="1" applyAlignment="1">
      <alignment horizontal="center" vertical="center"/>
    </xf>
    <xf numFmtId="38" fontId="35" fillId="7" borderId="4" xfId="3" applyNumberFormat="1" applyFont="1" applyFill="1" applyBorder="1" applyAlignment="1">
      <alignment horizontal="center" vertical="center"/>
    </xf>
    <xf numFmtId="40" fontId="16" fillId="0" borderId="29" xfId="1" applyNumberFormat="1" applyFont="1" applyFill="1" applyBorder="1" applyAlignment="1">
      <alignment horizontal="center" vertical="center" wrapText="1"/>
    </xf>
    <xf numFmtId="40" fontId="17" fillId="0" borderId="29" xfId="0" applyNumberFormat="1" applyFont="1" applyBorder="1" applyAlignment="1">
      <alignment horizontal="right" vertical="top"/>
    </xf>
    <xf numFmtId="40" fontId="17" fillId="4" borderId="29" xfId="0" applyNumberFormat="1" applyFont="1" applyFill="1" applyBorder="1" applyAlignment="1">
      <alignment vertical="top"/>
    </xf>
    <xf numFmtId="40" fontId="17" fillId="0" borderId="29" xfId="0" applyNumberFormat="1" applyFont="1" applyBorder="1" applyAlignment="1">
      <alignment vertical="top"/>
    </xf>
    <xf numFmtId="40" fontId="23" fillId="4" borderId="3" xfId="0" applyNumberFormat="1" applyFont="1" applyFill="1" applyBorder="1" applyAlignment="1">
      <alignment horizontal="right" vertical="top"/>
    </xf>
    <xf numFmtId="38" fontId="0" fillId="0" borderId="0" xfId="0" applyNumberFormat="1"/>
    <xf numFmtId="38" fontId="35" fillId="0" borderId="4" xfId="0" applyNumberFormat="1" applyFont="1" applyBorder="1" applyAlignment="1">
      <alignment horizontal="right" vertical="top"/>
    </xf>
    <xf numFmtId="43" fontId="40" fillId="0" borderId="0" xfId="3" applyFont="1"/>
    <xf numFmtId="43" fontId="40" fillId="0" borderId="0" xfId="3" applyFont="1" applyBorder="1"/>
    <xf numFmtId="43" fontId="40" fillId="0" borderId="16" xfId="3" applyFont="1" applyBorder="1"/>
    <xf numFmtId="40" fontId="41" fillId="0" borderId="0" xfId="0" applyNumberFormat="1" applyFont="1" applyAlignment="1">
      <alignment vertical="top" wrapText="1"/>
    </xf>
    <xf numFmtId="40" fontId="41" fillId="0" borderId="0" xfId="0" applyNumberFormat="1" applyFont="1" applyAlignment="1">
      <alignment horizontal="center" vertical="center" wrapText="1"/>
    </xf>
    <xf numFmtId="40" fontId="41" fillId="0" borderId="0" xfId="0" applyNumberFormat="1" applyFont="1" applyAlignment="1">
      <alignment horizontal="center"/>
    </xf>
    <xf numFmtId="165" fontId="41" fillId="0" borderId="0" xfId="0" applyNumberFormat="1" applyFont="1" applyAlignment="1">
      <alignment horizontal="center" vertical="center"/>
    </xf>
    <xf numFmtId="14" fontId="23" fillId="0" borderId="1" xfId="0" applyNumberFormat="1" applyFont="1" applyBorder="1" applyAlignment="1">
      <alignment horizontal="center" vertical="center"/>
    </xf>
    <xf numFmtId="40" fontId="23" fillId="0" borderId="1" xfId="0" applyNumberFormat="1" applyFont="1" applyBorder="1" applyAlignment="1">
      <alignment horizontal="center" vertical="center"/>
    </xf>
    <xf numFmtId="40" fontId="17" fillId="4" borderId="1" xfId="0" applyNumberFormat="1" applyFont="1" applyFill="1" applyBorder="1" applyAlignment="1">
      <alignment vertical="top"/>
    </xf>
    <xf numFmtId="166" fontId="24" fillId="0" borderId="0" xfId="0" applyNumberFormat="1" applyFont="1" applyAlignment="1">
      <alignment horizontal="center" vertical="top" wrapText="1"/>
    </xf>
    <xf numFmtId="38" fontId="35" fillId="0" borderId="3" xfId="0" applyNumberFormat="1" applyFont="1" applyBorder="1" applyAlignment="1">
      <alignment horizontal="right" vertical="top"/>
    </xf>
    <xf numFmtId="40" fontId="17" fillId="4" borderId="14" xfId="0" applyNumberFormat="1" applyFont="1" applyFill="1" applyBorder="1" applyAlignment="1">
      <alignment vertical="top"/>
    </xf>
    <xf numFmtId="40" fontId="23" fillId="8" borderId="1" xfId="0" applyNumberFormat="1" applyFont="1" applyFill="1" applyBorder="1" applyAlignment="1">
      <alignment horizontal="center" vertical="center" wrapText="1"/>
    </xf>
    <xf numFmtId="38" fontId="36" fillId="0" borderId="2" xfId="0" applyNumberFormat="1" applyFont="1" applyBorder="1" applyAlignment="1">
      <alignment horizontal="right" vertical="top" wrapText="1"/>
    </xf>
    <xf numFmtId="0" fontId="35" fillId="0" borderId="2" xfId="0" applyFont="1" applyBorder="1" applyAlignment="1">
      <alignment vertical="top" wrapText="1"/>
    </xf>
    <xf numFmtId="40" fontId="17" fillId="0" borderId="29" xfId="1" applyNumberFormat="1" applyFont="1" applyFill="1" applyBorder="1" applyAlignment="1">
      <alignment horizontal="center" vertical="center" wrapText="1"/>
    </xf>
    <xf numFmtId="38" fontId="35" fillId="0" borderId="10" xfId="0" applyNumberFormat="1" applyFont="1" applyBorder="1" applyAlignment="1">
      <alignment vertical="top"/>
    </xf>
    <xf numFmtId="40" fontId="17" fillId="4" borderId="18" xfId="0" applyNumberFormat="1" applyFont="1" applyFill="1" applyBorder="1" applyAlignment="1">
      <alignment horizontal="right" vertical="top"/>
    </xf>
    <xf numFmtId="40" fontId="17" fillId="4" borderId="7" xfId="0" applyNumberFormat="1" applyFont="1" applyFill="1" applyBorder="1" applyAlignment="1">
      <alignment horizontal="right" vertical="top"/>
    </xf>
    <xf numFmtId="40" fontId="23" fillId="4" borderId="2" xfId="0" applyNumberFormat="1" applyFont="1" applyFill="1" applyBorder="1" applyAlignment="1">
      <alignment horizontal="right" vertical="top"/>
    </xf>
    <xf numFmtId="0" fontId="0" fillId="0" borderId="0" xfId="0" applyAlignment="1">
      <alignment vertical="top" wrapText="1"/>
    </xf>
    <xf numFmtId="40" fontId="23" fillId="0" borderId="1" xfId="0" applyNumberFormat="1" applyFont="1" applyBorder="1" applyAlignment="1">
      <alignment horizontal="center" vertical="center" wrapText="1"/>
    </xf>
    <xf numFmtId="40" fontId="17" fillId="0" borderId="1" xfId="0" applyNumberFormat="1" applyFont="1" applyBorder="1" applyAlignment="1">
      <alignment vertical="top" wrapText="1"/>
    </xf>
    <xf numFmtId="40" fontId="17" fillId="2" borderId="1" xfId="0" applyNumberFormat="1" applyFont="1" applyFill="1" applyBorder="1" applyAlignment="1">
      <alignment horizontal="right" vertical="top"/>
    </xf>
    <xf numFmtId="40" fontId="20" fillId="0" borderId="14" xfId="0" applyNumberFormat="1" applyFont="1" applyBorder="1" applyAlignment="1">
      <alignment vertical="top" wrapText="1"/>
    </xf>
    <xf numFmtId="40" fontId="20" fillId="0" borderId="0" xfId="0" applyNumberFormat="1" applyFont="1" applyAlignment="1">
      <alignment vertical="top" wrapText="1"/>
    </xf>
    <xf numFmtId="40" fontId="16" fillId="9" borderId="6" xfId="0" applyNumberFormat="1" applyFont="1" applyFill="1" applyBorder="1" applyAlignment="1">
      <alignment horizontal="center" vertical="center" wrapText="1"/>
    </xf>
    <xf numFmtId="164" fontId="24" fillId="0" borderId="0" xfId="0" applyNumberFormat="1" applyFont="1" applyAlignment="1">
      <alignment horizontal="center" vertical="top" wrapText="1"/>
    </xf>
    <xf numFmtId="40" fontId="17" fillId="0" borderId="7" xfId="0" applyNumberFormat="1" applyFont="1" applyBorder="1" applyAlignment="1">
      <alignment vertical="top"/>
    </xf>
    <xf numFmtId="40" fontId="17" fillId="0" borderId="0" xfId="0" applyNumberFormat="1" applyFont="1" applyAlignment="1">
      <alignment horizontal="right"/>
    </xf>
    <xf numFmtId="40" fontId="17" fillId="0" borderId="7" xfId="1" applyNumberFormat="1" applyFont="1" applyBorder="1" applyAlignment="1">
      <alignment horizontal="center" vertical="center" wrapText="1"/>
    </xf>
    <xf numFmtId="40" fontId="23" fillId="0" borderId="1" xfId="0" applyNumberFormat="1" applyFont="1" applyBorder="1" applyAlignment="1">
      <alignment horizontal="right" vertical="top" wrapText="1"/>
    </xf>
    <xf numFmtId="40" fontId="17" fillId="8" borderId="1" xfId="0" applyNumberFormat="1" applyFont="1" applyFill="1" applyBorder="1" applyAlignment="1">
      <alignment horizontal="right" vertical="top"/>
    </xf>
    <xf numFmtId="40" fontId="17" fillId="2" borderId="1" xfId="0" applyNumberFormat="1" applyFont="1" applyFill="1" applyBorder="1" applyAlignment="1">
      <alignment vertical="top" wrapText="1"/>
    </xf>
    <xf numFmtId="40" fontId="17" fillId="4" borderId="30" xfId="0" applyNumberFormat="1" applyFont="1" applyFill="1" applyBorder="1" applyAlignment="1">
      <alignment vertical="top"/>
    </xf>
    <xf numFmtId="40" fontId="17" fillId="0" borderId="3" xfId="0" applyNumberFormat="1" applyFont="1" applyBorder="1" applyAlignment="1">
      <alignment vertical="top"/>
    </xf>
    <xf numFmtId="40" fontId="17" fillId="4" borderId="11" xfId="0" applyNumberFormat="1" applyFont="1" applyFill="1" applyBorder="1" applyAlignment="1">
      <alignment vertical="top"/>
    </xf>
    <xf numFmtId="40" fontId="17" fillId="4" borderId="3" xfId="0" applyNumberFormat="1" applyFont="1" applyFill="1" applyBorder="1" applyAlignment="1">
      <alignment vertical="top"/>
    </xf>
    <xf numFmtId="40" fontId="17" fillId="4" borderId="31" xfId="0" applyNumberFormat="1" applyFont="1" applyFill="1" applyBorder="1" applyAlignment="1">
      <alignment vertical="top"/>
    </xf>
    <xf numFmtId="40" fontId="17" fillId="0" borderId="11" xfId="0" applyNumberFormat="1" applyFont="1" applyBorder="1" applyAlignment="1">
      <alignment vertical="top"/>
    </xf>
    <xf numFmtId="40" fontId="17" fillId="0" borderId="10" xfId="0" applyNumberFormat="1" applyFont="1" applyBorder="1" applyAlignment="1">
      <alignment vertical="top"/>
    </xf>
    <xf numFmtId="40" fontId="17" fillId="0" borderId="13" xfId="0" applyNumberFormat="1" applyFont="1" applyBorder="1" applyAlignment="1">
      <alignment vertical="top"/>
    </xf>
    <xf numFmtId="40" fontId="17" fillId="8" borderId="1" xfId="0" applyNumberFormat="1" applyFont="1" applyFill="1" applyBorder="1" applyAlignment="1">
      <alignment vertical="top" wrapText="1"/>
    </xf>
    <xf numFmtId="165" fontId="17" fillId="0" borderId="29" xfId="1" applyNumberFormat="1" applyFont="1" applyFill="1" applyBorder="1" applyAlignment="1">
      <alignment horizontal="center" vertical="center" wrapText="1"/>
    </xf>
    <xf numFmtId="4" fontId="11" fillId="0" borderId="0" xfId="0" applyNumberFormat="1" applyFont="1" applyAlignment="1">
      <alignment vertical="top" wrapText="1"/>
    </xf>
    <xf numFmtId="14" fontId="23" fillId="0" borderId="1" xfId="0" applyNumberFormat="1" applyFont="1" applyBorder="1" applyAlignment="1">
      <alignment horizontal="right" vertical="top" wrapText="1"/>
    </xf>
    <xf numFmtId="9" fontId="0" fillId="0" borderId="0" xfId="47" applyFont="1"/>
    <xf numFmtId="8" fontId="0" fillId="0" borderId="0" xfId="0" applyNumberFormat="1"/>
    <xf numFmtId="40" fontId="17" fillId="8" borderId="7" xfId="0" applyNumberFormat="1" applyFont="1" applyFill="1" applyBorder="1" applyAlignment="1">
      <alignment horizontal="right" vertical="top"/>
    </xf>
    <xf numFmtId="40" fontId="17" fillId="8" borderId="29" xfId="0" applyNumberFormat="1" applyFont="1" applyFill="1" applyBorder="1" applyAlignment="1">
      <alignment horizontal="right" vertical="top"/>
    </xf>
    <xf numFmtId="40" fontId="17" fillId="0" borderId="0" xfId="0" applyNumberFormat="1" applyFont="1" applyAlignment="1">
      <alignment horizontal="center"/>
    </xf>
    <xf numFmtId="4" fontId="24" fillId="0" borderId="0" xfId="0" applyNumberFormat="1" applyFont="1" applyAlignment="1">
      <alignment horizontal="right" vertical="top" wrapText="1"/>
    </xf>
    <xf numFmtId="40" fontId="17" fillId="0" borderId="0" xfId="0" applyNumberFormat="1" applyFont="1" applyAlignment="1">
      <alignment horizontal="center" vertical="top" wrapText="1"/>
    </xf>
    <xf numFmtId="4" fontId="24" fillId="0" borderId="1" xfId="0" applyNumberFormat="1" applyFont="1" applyBorder="1" applyAlignment="1">
      <alignment horizontal="right" vertical="top" wrapText="1"/>
    </xf>
    <xf numFmtId="43" fontId="42" fillId="0" borderId="0" xfId="3" applyFont="1"/>
    <xf numFmtId="38" fontId="35" fillId="10" borderId="1" xfId="0" applyNumberFormat="1" applyFont="1" applyFill="1" applyBorder="1" applyAlignment="1">
      <alignment vertical="top"/>
    </xf>
    <xf numFmtId="38" fontId="35" fillId="11" borderId="3" xfId="0" applyNumberFormat="1" applyFont="1" applyFill="1" applyBorder="1" applyAlignment="1">
      <alignment vertical="top"/>
    </xf>
    <xf numFmtId="0" fontId="43" fillId="0" borderId="0" xfId="0" applyFont="1" applyAlignment="1">
      <alignment vertical="top"/>
    </xf>
    <xf numFmtId="0" fontId="0" fillId="0" borderId="0" xfId="0" applyAlignment="1">
      <alignment horizontal="left" vertical="top"/>
    </xf>
    <xf numFmtId="43" fontId="44" fillId="0" borderId="0" xfId="3" applyFont="1"/>
    <xf numFmtId="38" fontId="35" fillId="0" borderId="32" xfId="0" applyNumberFormat="1" applyFont="1" applyBorder="1" applyAlignment="1">
      <alignment horizontal="right" vertical="top"/>
    </xf>
    <xf numFmtId="3" fontId="0" fillId="0" borderId="0" xfId="0" applyNumberFormat="1"/>
    <xf numFmtId="0" fontId="45" fillId="0" borderId="0" xfId="0" applyFont="1" applyAlignment="1">
      <alignment vertical="top"/>
    </xf>
    <xf numFmtId="43" fontId="46" fillId="0" borderId="0" xfId="3" applyFont="1"/>
    <xf numFmtId="40" fontId="26" fillId="5" borderId="12" xfId="1" applyNumberFormat="1" applyFont="1" applyFill="1" applyBorder="1" applyAlignment="1">
      <alignment horizontal="center" vertical="center" wrapText="1"/>
    </xf>
    <xf numFmtId="40" fontId="13" fillId="0" borderId="0" xfId="0" applyNumberFormat="1" applyFont="1" applyAlignment="1">
      <alignment horizontal="center" vertical="center"/>
    </xf>
    <xf numFmtId="0" fontId="25" fillId="0" borderId="0" xfId="0" applyFont="1" applyAlignment="1">
      <alignment horizontal="left" vertical="top"/>
    </xf>
    <xf numFmtId="40" fontId="20" fillId="0" borderId="12" xfId="0" applyNumberFormat="1" applyFont="1" applyBorder="1" applyAlignment="1">
      <alignment horizontal="center" vertical="top" wrapText="1"/>
    </xf>
    <xf numFmtId="0" fontId="25" fillId="0" borderId="0" xfId="0" applyFont="1" applyAlignment="1">
      <alignment horizontal="left" vertical="top" wrapText="1"/>
    </xf>
    <xf numFmtId="0" fontId="5" fillId="0" borderId="0" xfId="0" applyFont="1" applyAlignment="1">
      <alignment horizontal="left" vertical="top" wrapText="1"/>
    </xf>
    <xf numFmtId="0" fontId="13"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wrapText="1"/>
    </xf>
    <xf numFmtId="0" fontId="0" fillId="0" borderId="0" xfId="0" applyAlignment="1">
      <alignment vertical="top" wrapText="1"/>
    </xf>
    <xf numFmtId="14" fontId="13" fillId="0" borderId="7" xfId="0" applyNumberFormat="1" applyFont="1" applyBorder="1" applyAlignment="1">
      <alignment horizontal="center" vertical="top" wrapText="1"/>
    </xf>
    <xf numFmtId="0" fontId="0" fillId="0" borderId="13" xfId="0" applyBorder="1" applyAlignment="1">
      <alignment horizontal="center" vertical="top" wrapText="1"/>
    </xf>
    <xf numFmtId="0" fontId="0" fillId="0" borderId="11" xfId="0" applyBorder="1" applyAlignment="1">
      <alignment horizontal="center" vertical="top" wrapText="1"/>
    </xf>
    <xf numFmtId="43" fontId="5" fillId="0" borderId="0" xfId="3" applyFont="1" applyAlignment="1">
      <alignment horizontal="left" vertical="top" wrapText="1"/>
    </xf>
    <xf numFmtId="43" fontId="2" fillId="0" borderId="0" xfId="3" applyFont="1" applyAlignment="1">
      <alignment horizontal="left" vertical="top" wrapText="1"/>
    </xf>
    <xf numFmtId="43" fontId="4" fillId="0" borderId="0" xfId="3" applyFont="1" applyAlignment="1">
      <alignment horizontal="left" vertical="top" wrapText="1"/>
    </xf>
    <xf numFmtId="43" fontId="4" fillId="0" borderId="0" xfId="3" applyFont="1" applyBorder="1" applyAlignment="1">
      <alignment horizontal="left" vertical="top" wrapText="1"/>
    </xf>
    <xf numFmtId="43" fontId="3" fillId="0" borderId="0" xfId="3"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horizontal="left" vertical="top" wrapText="1"/>
    </xf>
    <xf numFmtId="0" fontId="7" fillId="3" borderId="0" xfId="2" applyFont="1" applyFill="1" applyAlignment="1">
      <alignment horizontal="left" vertical="top" wrapText="1"/>
    </xf>
    <xf numFmtId="0" fontId="7" fillId="0" borderId="0" xfId="2" applyFont="1" applyAlignment="1">
      <alignment horizontal="left" vertical="top" wrapText="1"/>
    </xf>
    <xf numFmtId="0" fontId="47" fillId="2" borderId="0" xfId="0" applyFont="1" applyFill="1" applyAlignment="1">
      <alignment horizontal="left" vertical="top" wrapText="1"/>
    </xf>
    <xf numFmtId="0" fontId="2" fillId="0" borderId="0" xfId="0" applyFont="1" applyAlignment="1">
      <alignment horizontal="left" vertical="top"/>
    </xf>
    <xf numFmtId="0" fontId="0" fillId="3" borderId="0" xfId="0" applyFill="1" applyAlignment="1">
      <alignment horizontal="left" vertical="top" wrapText="1"/>
    </xf>
    <xf numFmtId="0" fontId="0" fillId="2" borderId="0" xfId="0" applyFill="1" applyAlignment="1">
      <alignment horizontal="left" vertical="top" wrapText="1"/>
    </xf>
    <xf numFmtId="38" fontId="35" fillId="0" borderId="26" xfId="0" applyNumberFormat="1" applyFont="1" applyBorder="1" applyAlignment="1">
      <alignment horizontal="left" vertical="center" wrapText="1"/>
    </xf>
    <xf numFmtId="38" fontId="35" fillId="0" borderId="27" xfId="0" applyNumberFormat="1" applyFont="1" applyBorder="1" applyAlignment="1">
      <alignment horizontal="left" vertical="center" wrapText="1"/>
    </xf>
    <xf numFmtId="38" fontId="36" fillId="7" borderId="21" xfId="0" applyNumberFormat="1" applyFont="1" applyFill="1" applyBorder="1" applyAlignment="1">
      <alignment horizontal="center" vertical="center"/>
    </xf>
    <xf numFmtId="38" fontId="36" fillId="7" borderId="22" xfId="0" applyNumberFormat="1" applyFont="1" applyFill="1" applyBorder="1" applyAlignment="1">
      <alignment horizontal="center" vertical="center"/>
    </xf>
    <xf numFmtId="38" fontId="36" fillId="7" borderId="23" xfId="0" applyNumberFormat="1" applyFont="1" applyFill="1" applyBorder="1" applyAlignment="1">
      <alignment horizontal="center" vertical="center"/>
    </xf>
    <xf numFmtId="38" fontId="36" fillId="7" borderId="28" xfId="0" applyNumberFormat="1" applyFont="1" applyFill="1" applyBorder="1" applyAlignment="1">
      <alignment horizontal="center" vertical="top"/>
    </xf>
    <xf numFmtId="38" fontId="36" fillId="7" borderId="24" xfId="0" applyNumberFormat="1" applyFont="1" applyFill="1" applyBorder="1" applyAlignment="1">
      <alignment horizontal="center" vertical="top"/>
    </xf>
  </cellXfs>
  <cellStyles count="48">
    <cellStyle name="Comma" xfId="3" builtinId="3"/>
    <cellStyle name="Comma 2" xfId="6" xr:uid="{00000000-0005-0000-0000-000001000000}"/>
    <cellStyle name="Comma 2 2" xfId="10" xr:uid="{00000000-0005-0000-0000-000002000000}"/>
    <cellStyle name="Comma 3" xfId="11" xr:uid="{00000000-0005-0000-0000-000003000000}"/>
    <cellStyle name="Currency" xfId="1" builtinId="4"/>
    <cellStyle name="Currency 2" xfId="12" xr:uid="{00000000-0005-0000-0000-000005000000}"/>
    <cellStyle name="Currency 3" xfId="13" xr:uid="{00000000-0005-0000-0000-000006000000}"/>
    <cellStyle name="Normal" xfId="0" builtinId="0"/>
    <cellStyle name="Normal 10" xfId="14" xr:uid="{00000000-0005-0000-0000-000008000000}"/>
    <cellStyle name="Normal 11" xfId="15" xr:uid="{00000000-0005-0000-0000-000009000000}"/>
    <cellStyle name="Normal 12" xfId="16" xr:uid="{00000000-0005-0000-0000-00000A000000}"/>
    <cellStyle name="Normal 13" xfId="17" xr:uid="{00000000-0005-0000-0000-00000B000000}"/>
    <cellStyle name="Normal 14" xfId="18" xr:uid="{00000000-0005-0000-0000-00000C000000}"/>
    <cellStyle name="Normal 15" xfId="19" xr:uid="{00000000-0005-0000-0000-00000D000000}"/>
    <cellStyle name="Normal 16" xfId="20" xr:uid="{00000000-0005-0000-0000-00000E000000}"/>
    <cellStyle name="Normal 17" xfId="21" xr:uid="{00000000-0005-0000-0000-00000F000000}"/>
    <cellStyle name="Normal 18" xfId="22" xr:uid="{00000000-0005-0000-0000-000010000000}"/>
    <cellStyle name="Normal 19" xfId="23" xr:uid="{00000000-0005-0000-0000-000011000000}"/>
    <cellStyle name="Normal 2" xfId="5" xr:uid="{00000000-0005-0000-0000-000012000000}"/>
    <cellStyle name="Normal 2 2" xfId="9" xr:uid="{00000000-0005-0000-0000-000013000000}"/>
    <cellStyle name="Normal 2 3" xfId="8" xr:uid="{00000000-0005-0000-0000-000014000000}"/>
    <cellStyle name="Normal 2 4" xfId="46" xr:uid="{00000000-0005-0000-0000-000015000000}"/>
    <cellStyle name="Normal 20" xfId="24" xr:uid="{00000000-0005-0000-0000-000016000000}"/>
    <cellStyle name="Normal 21" xfId="25" xr:uid="{00000000-0005-0000-0000-000017000000}"/>
    <cellStyle name="Normal 22" xfId="26" xr:uid="{00000000-0005-0000-0000-000018000000}"/>
    <cellStyle name="Normal 23" xfId="27" xr:uid="{00000000-0005-0000-0000-000019000000}"/>
    <cellStyle name="Normal 24" xfId="28" xr:uid="{00000000-0005-0000-0000-00001A000000}"/>
    <cellStyle name="Normal 25" xfId="29" xr:uid="{00000000-0005-0000-0000-00001B000000}"/>
    <cellStyle name="Normal 26" xfId="30" xr:uid="{00000000-0005-0000-0000-00001C000000}"/>
    <cellStyle name="Normal 27" xfId="31" xr:uid="{00000000-0005-0000-0000-00001D000000}"/>
    <cellStyle name="Normal 28" xfId="32" xr:uid="{00000000-0005-0000-0000-00001E000000}"/>
    <cellStyle name="Normal 29" xfId="33" xr:uid="{00000000-0005-0000-0000-00001F000000}"/>
    <cellStyle name="Normal 3" xfId="34" xr:uid="{00000000-0005-0000-0000-000020000000}"/>
    <cellStyle name="Normal 3 2" xfId="35" xr:uid="{00000000-0005-0000-0000-000021000000}"/>
    <cellStyle name="Normal 4" xfId="4" xr:uid="{00000000-0005-0000-0000-000022000000}"/>
    <cellStyle name="Normal 4 2" xfId="37" xr:uid="{00000000-0005-0000-0000-000023000000}"/>
    <cellStyle name="Normal 4 3" xfId="36" xr:uid="{00000000-0005-0000-0000-000024000000}"/>
    <cellStyle name="Normal 5" xfId="7" xr:uid="{00000000-0005-0000-0000-000025000000}"/>
    <cellStyle name="Normal 5 2" xfId="39" xr:uid="{00000000-0005-0000-0000-000026000000}"/>
    <cellStyle name="Normal 5 3" xfId="38" xr:uid="{00000000-0005-0000-0000-000027000000}"/>
    <cellStyle name="Normal 6" xfId="40" xr:uid="{00000000-0005-0000-0000-000028000000}"/>
    <cellStyle name="Normal 7" xfId="41" xr:uid="{00000000-0005-0000-0000-000029000000}"/>
    <cellStyle name="Normal 8" xfId="42" xr:uid="{00000000-0005-0000-0000-00002A000000}"/>
    <cellStyle name="Normal 9" xfId="43" xr:uid="{00000000-0005-0000-0000-00002B000000}"/>
    <cellStyle name="Normal_Notes" xfId="2" xr:uid="{00000000-0005-0000-0000-00002C000000}"/>
    <cellStyle name="Percent" xfId="47" builtinId="5"/>
    <cellStyle name="Percent 2" xfId="44" xr:uid="{00000000-0005-0000-0000-00002D000000}"/>
    <cellStyle name="Percent 3" xfId="45" xr:uid="{00000000-0005-0000-0000-00002E000000}"/>
  </cellStyles>
  <dxfs count="123">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6" formatCode="m/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general"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4" formatCode="#,##0.00"/>
      <alignment horizontal="right"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Unicode MS"/>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center"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Unicode MS"/>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165" formatCode="mm/dd/yyyy"/>
      <alignment horizontal="center" vertical="center" textRotation="0" wrapText="0" indent="0" justifyLastLine="0" shrinkToFit="0" readingOrder="0"/>
    </dxf>
    <dxf>
      <fill>
        <patternFill>
          <bgColor theme="4" tint="0.39994506668294322"/>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
      <fill>
        <patternFill>
          <bgColor rgb="FFA2B9E2"/>
        </patternFill>
      </fill>
    </dxf>
    <dxf>
      <fill>
        <patternFill>
          <bgColor rgb="FFF4AF80"/>
        </patternFill>
      </fill>
    </dxf>
    <dxf>
      <fill>
        <patternFill>
          <bgColor rgb="FFCFB85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Table Style 1" pivot="0" count="2" xr9:uid="{00000000-0011-0000-FFFF-FFFF00000000}">
      <tableStyleElement type="wholeTable" dxfId="122"/>
      <tableStyleElement type="firstRowStripe" dxfId="121"/>
    </tableStyle>
    <tableStyle name="Table Style 2" pivot="0" count="1" xr9:uid="{00000000-0011-0000-FFFF-FFFF01000000}">
      <tableStyleElement type="firstRowStripe" dxfId="120"/>
    </tableStyle>
    <tableStyle name="Table Style 3" pivot="0" count="1" xr9:uid="{00000000-0011-0000-FFFF-FFFF02000000}">
      <tableStyleElement type="firstRowStripe" dxfId="119"/>
    </tableStyle>
    <tableStyle name="Table Style 4" pivot="0" count="3" xr9:uid="{00000000-0011-0000-FFFF-FFFF03000000}">
      <tableStyleElement type="wholeTable" dxfId="118"/>
      <tableStyleElement type="headerRow" dxfId="117"/>
      <tableStyleElement type="firstRowStripe" dxfId="116"/>
    </tableStyle>
  </tableStyles>
  <colors>
    <mruColors>
      <color rgb="FFCC99FF"/>
      <color rgb="FF9999FF"/>
      <color rgb="FFFABF8F"/>
      <color rgb="FFF2DCDB"/>
      <color rgb="FFACEAAC"/>
      <color rgb="FFC9FFF5"/>
      <color rgb="FFFFCCFF"/>
      <color rgb="FFDDD9C4"/>
      <color rgb="FFA2B9E2"/>
      <color rgb="FFF4A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949073</xdr:colOff>
      <xdr:row>3</xdr:row>
      <xdr:rowOff>95250</xdr:rowOff>
    </xdr:from>
    <xdr:ext cx="184731" cy="937629"/>
    <xdr:sp macro="" textlink="">
      <xdr:nvSpPr>
        <xdr:cNvPr id="2" name="Rectangle 1">
          <a:extLst>
            <a:ext uri="{FF2B5EF4-FFF2-40B4-BE49-F238E27FC236}">
              <a16:creationId xmlns:a16="http://schemas.microsoft.com/office/drawing/2014/main" id="{00000000-0008-0000-0000-000002000000}"/>
            </a:ext>
          </a:extLst>
        </xdr:cNvPr>
        <xdr:cNvSpPr/>
      </xdr:nvSpPr>
      <xdr:spPr>
        <a:xfrm>
          <a:off x="4240490" y="952500"/>
          <a:ext cx="184731" cy="937629"/>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5400" b="1" cap="none" spc="0">
            <a:ln w="11430"/>
            <a:solidFill>
              <a:srgbClr val="FF0000"/>
            </a:solidFill>
            <a:effectLst>
              <a:outerShdw blurRad="50800" dist="39000" dir="5460000" algn="tl">
                <a:srgbClr val="000000">
                  <a:alpha val="38000"/>
                </a:srgbClr>
              </a:outerShdw>
            </a:effectLst>
          </a:endParaRPr>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1" xr16:uid="{00000000-0016-0000-0000-000000000000}" autoFormatId="16" applyNumberFormats="0" applyBorderFormats="0" applyFontFormats="0" applyPatternFormats="0" applyAlignmentFormats="0" applyWidthHeightFormats="0">
  <queryTableRefresh nextId="26" unboundColumnsRight="2">
    <queryTableFields count="25">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PL" tableColumnId="15"/>
      <queryTableField id="16" name="PL-SATO" tableColumnId="16"/>
      <queryTableField id="17" name="SPR" tableColumnId="17"/>
      <queryTableField id="18" name="STP &lt;5" tableColumnId="18"/>
      <queryTableField id="19" name="STP 5-200" tableColumnId="19"/>
      <queryTableField id="20" name="STP 5-50" tableColumnId="20"/>
      <queryTableField id="21" name="STP 50-200" tableColumnId="21"/>
      <queryTableField id="22" name="CRP 50-200" tableColumnId="22"/>
      <queryTableField id="23" name="STP other" tableColumnId="23"/>
      <queryTableField id="25" dataBound="0" tableColumnId="24"/>
      <queryTableField id="24" dataBound="0" tableColumnId="2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4" xr16:uid="{00000000-0016-0000-0000-000001000000}" autoFormatId="16" applyNumberFormats="0" applyBorderFormats="0" applyFontFormats="0" applyPatternFormats="0" applyAlignmentFormats="0" applyWidthHeightFormats="0">
  <queryTableRefresh nextId="26" unboundColumnsRight="2">
    <queryTableFields count="25">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PL" tableColumnId="15"/>
      <queryTableField id="16" name="PL-SATO" tableColumnId="16"/>
      <queryTableField id="17" name="SPR" tableColumnId="17"/>
      <queryTableField id="18" name="STP &lt;5" tableColumnId="18"/>
      <queryTableField id="19" name="STP 5-200" tableColumnId="19"/>
      <queryTableField id="20" name="STP 5-50" tableColumnId="20"/>
      <queryTableField id="21" name="STP 50-200" tableColumnId="21"/>
      <queryTableField id="22" name="CRP 50-200" tableColumnId="22"/>
      <queryTableField id="23" name="STP OTHER" tableColumnId="23"/>
      <queryTableField id="25" dataBound="0" tableColumnId="24"/>
      <queryTableField id="24" dataBound="0" tableColumnId="2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connectionId="2" xr16:uid="{00000000-0016-0000-0100-000002000000}" autoFormatId="16" applyNumberFormats="0" applyBorderFormats="0" applyFontFormats="0" applyPatternFormats="0" applyAlignmentFormats="0" applyWidthHeightFormats="0">
  <queryTableRefresh preserveSortFilterLayout="0" nextId="28">
    <queryTableFields count="27">
      <queryTableField id="1" name="Transaction Year" tableColumnId="1"/>
      <queryTableField id="2" name="Transaction Type" tableColumnId="2"/>
      <queryTableField id="3" name="Number" tableColumnId="3"/>
      <queryTableField id="4" name="From" tableColumnId="4"/>
      <queryTableField id="5" name="To" tableColumnId="5"/>
      <queryTableField id="6" name="Repayment Year" tableColumnId="6"/>
      <queryTableField id="7" name="Project8" tableColumnId="7"/>
      <queryTableField id="8" name="Notes" tableColumnId="8"/>
      <queryTableField id="9" name="Total" tableColumnId="9"/>
      <queryTableField id="10" name="CMAQ" tableColumnId="10"/>
      <queryTableField id="11" name="CMAQ 25" tableColumnId="11"/>
      <queryTableField id="12" name="HURF Exchange" tableColumnId="12"/>
      <queryTableField id="13" name="HSIP" tableColumnId="13"/>
      <queryTableField id="14" name="PLAN" tableColumnId="14"/>
      <queryTableField id="15" name="PLAN SATO" tableColumnId="15"/>
      <queryTableField id="16" name="SPR" tableColumnId="16"/>
      <queryTableField id="17" name="STP &lt;5" tableColumnId="17"/>
      <queryTableField id="18" name="STP 5-2" tableColumnId="18"/>
      <queryTableField id="19" name="STP 5-50" tableColumnId="19"/>
      <queryTableField id="20" name="STP 50-200" tableColumnId="20"/>
      <queryTableField id="21" name="CRP 50-200" tableColumnId="21"/>
      <queryTableField id="22" name="STP FLEX" tableColumnId="22"/>
      <queryTableField id="23" name="STP &gt;200" tableColumnId="23"/>
      <queryTableField id="24" name="TAP FLEX" tableColumnId="24"/>
      <queryTableField id="25" name="TAP &gt;200" tableColumnId="25"/>
      <queryTableField id="26" name="TAP &lt;5" tableColumnId="26"/>
      <queryTableField id="27" name="TAP 5-2" tableColumnId="27"/>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overwriteClear" connectionId="3" xr16:uid="{00000000-0016-0000-0100-000003000000}" autoFormatId="16" applyNumberFormats="0" applyBorderFormats="0" applyFontFormats="0" applyPatternFormats="0" applyAlignmentFormats="0" applyWidthHeightFormats="0">
  <queryTableRefresh preserveSortFilterLayout="0" nextId="28">
    <queryTableFields count="27">
      <queryTableField id="1" name="Transaction Year" tableColumnId="1"/>
      <queryTableField id="2" name="Transaction Type" tableColumnId="2"/>
      <queryTableField id="3" name="Number" tableColumnId="3"/>
      <queryTableField id="4" name="From" tableColumnId="4"/>
      <queryTableField id="5" name="To" tableColumnId="5"/>
      <queryTableField id="6" name="Repayment Year" tableColumnId="6"/>
      <queryTableField id="7" name="Project8" tableColumnId="7"/>
      <queryTableField id="8" name="Notes" tableColumnId="8"/>
      <queryTableField id="9" name="Total" tableColumnId="9"/>
      <queryTableField id="10" name="CMAQ" tableColumnId="10"/>
      <queryTableField id="11" name="CMAQ 25" tableColumnId="11"/>
      <queryTableField id="12" name="HURF Exchange" tableColumnId="12"/>
      <queryTableField id="13" name="HSIP" tableColumnId="13"/>
      <queryTableField id="14" name="PLAN" tableColumnId="14"/>
      <queryTableField id="15" name="PLAN SATO" tableColumnId="15"/>
      <queryTableField id="16" name="SPR" tableColumnId="16"/>
      <queryTableField id="17" name="STP &lt;5" tableColumnId="17"/>
      <queryTableField id="18" name="STP 5-2" tableColumnId="18"/>
      <queryTableField id="19" name="STP 5-50" tableColumnId="19"/>
      <queryTableField id="20" name="STP 50-200" tableColumnId="20"/>
      <queryTableField id="21" name="CRP 50-200" tableColumnId="21"/>
      <queryTableField id="22" name="STP FLEX" tableColumnId="22"/>
      <queryTableField id="23" name="STP &gt;200" tableColumnId="23"/>
      <queryTableField id="24" name="TAP FLEX" tableColumnId="24"/>
      <queryTableField id="25" name="TAP &gt;200" tableColumnId="25"/>
      <queryTableField id="26" name="TAP &lt;5" tableColumnId="26"/>
      <queryTableField id="27" name="TAP 5-2" tableColumnId="2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_Query_from_MS_Access_Database8" displayName="Table_Query_from_MS_Access_Database8" ref="A15:Y24" tableType="queryTable" totalsRowShown="0" headerRowDxfId="115" dataDxfId="114" tableBorderDxfId="113">
  <autoFilter ref="A15:Y24" xr:uid="{00000000-0009-0000-0100-000007000000}"/>
  <tableColumns count="25">
    <tableColumn id="1" xr3:uid="{00000000-0010-0000-0000-000001000000}" uniqueName="1" name="ADOT#" queryTableFieldId="1" dataDxfId="78"/>
    <tableColumn id="2" xr3:uid="{00000000-0010-0000-0000-000002000000}" uniqueName="2" name="TIP#" queryTableFieldId="2" dataDxfId="77"/>
    <tableColumn id="3" xr3:uid="{00000000-0010-0000-0000-000003000000}" uniqueName="3" name="Sponsor" queryTableFieldId="3" dataDxfId="76"/>
    <tableColumn id="4" xr3:uid="{00000000-0010-0000-0000-000004000000}" uniqueName="4" name="Action/15" queryTableFieldId="4" dataDxfId="75"/>
    <tableColumn id="5" xr3:uid="{00000000-0010-0000-0000-000005000000}" uniqueName="5" name="Location" queryTableFieldId="5" dataDxfId="74"/>
    <tableColumn id="6" xr3:uid="{00000000-0010-0000-0000-000006000000}" uniqueName="6" name="RTE" queryTableFieldId="6" dataDxfId="73"/>
    <tableColumn id="7" xr3:uid="{00000000-0010-0000-0000-000007000000}" uniqueName="7" name="SEC" queryTableFieldId="7" dataDxfId="72"/>
    <tableColumn id="8" xr3:uid="{00000000-0010-0000-0000-000008000000}" uniqueName="8" name="SEQ" queryTableFieldId="8" dataDxfId="71"/>
    <tableColumn id="9" xr3:uid="{00000000-0010-0000-0000-000009000000}" uniqueName="9" name="PB Expected" queryTableFieldId="9" dataDxfId="70"/>
    <tableColumn id="10" xr3:uid="{00000000-0010-0000-0000-00000A000000}" uniqueName="10" name="PB Received" queryTableFieldId="10" dataDxfId="69"/>
    <tableColumn id="11" xr3:uid="{00000000-0010-0000-0000-00000B000000}" uniqueName="11" name="PF Transmitted" queryTableFieldId="11" dataDxfId="68"/>
    <tableColumn id="12" xr3:uid="{00000000-0010-0000-0000-00000C000000}" uniqueName="12" name="Finance Authorization" queryTableFieldId="12" dataDxfId="67"/>
    <tableColumn id="13" xr3:uid="{00000000-0010-0000-0000-00000D000000}" uniqueName="13" name="HURF EX" queryTableFieldId="13" dataDxfId="66"/>
    <tableColumn id="14" xr3:uid="{00000000-0010-0000-0000-00000E000000}" uniqueName="14" name="HSIP" queryTableFieldId="14" dataDxfId="65"/>
    <tableColumn id="15" xr3:uid="{00000000-0010-0000-0000-00000F000000}" uniqueName="15" name="PL" queryTableFieldId="15" dataDxfId="64"/>
    <tableColumn id="16" xr3:uid="{00000000-0010-0000-0000-000010000000}" uniqueName="16" name="PL-SATO" queryTableFieldId="16" dataDxfId="63"/>
    <tableColumn id="17" xr3:uid="{00000000-0010-0000-0000-000011000000}" uniqueName="17" name="SPR" queryTableFieldId="17" dataDxfId="62"/>
    <tableColumn id="18" xr3:uid="{00000000-0010-0000-0000-000012000000}" uniqueName="18" name="STP &lt;5" queryTableFieldId="18" dataDxfId="61"/>
    <tableColumn id="19" xr3:uid="{00000000-0010-0000-0000-000013000000}" uniqueName="19" name="STP 5-200" queryTableFieldId="19" dataDxfId="60"/>
    <tableColumn id="20" xr3:uid="{00000000-0010-0000-0000-000014000000}" uniqueName="20" name="STP 5-50" queryTableFieldId="20" dataDxfId="59"/>
    <tableColumn id="21" xr3:uid="{00000000-0010-0000-0000-000015000000}" uniqueName="21" name="STP 50-200" queryTableFieldId="21" dataDxfId="58"/>
    <tableColumn id="22" xr3:uid="{00000000-0010-0000-0000-000016000000}" uniqueName="22" name="CRP 50-200" queryTableFieldId="22" dataDxfId="57"/>
    <tableColumn id="23" xr3:uid="{00000000-0010-0000-0000-000017000000}" uniqueName="23" name="STP other" queryTableFieldId="23" dataDxfId="56"/>
    <tableColumn id="24" xr3:uid="{00000000-0010-0000-0000-000018000000}" uniqueName="24" name="TOTAL OF AMOUNT" queryTableFieldId="25" dataDxfId="55">
      <calculatedColumnFormula>SUM(Table_Query_from_MS_Access_Database8[[#This Row],[HURF EX]:[STP other]])</calculatedColumnFormula>
    </tableColumn>
    <tableColumn id="25" xr3:uid="{00000000-0010-0000-0000-000019000000}" uniqueName="25" name="DECLINING BALANCE OA" queryTableFieldId="24" dataDxfId="54">
      <calculatedColumnFormula>IF(ISTEXT(INDIRECT(ADDRESS(ROW()-1,COLUMN()))), INDIRECT(ADDRESS(12,COLUMN())),INDIRECT(ADDRESS(ROW()-1,COLUMN())))-Table_Query_from_MS_Access_Database8[[#This Row],[TOTAL OF AMOUNT]]</calculatedColumnFormula>
    </tableColumn>
  </tableColumns>
  <tableStyleInfo name="Table Sty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_Query_from_MS_Access_Database_1" displayName="Table_Query_from_MS_Access_Database_1" ref="A29:Y36" tableType="queryTable" totalsRowShown="0" headerRowDxfId="112" dataDxfId="111">
  <autoFilter ref="A29:Y36" xr:uid="{00000000-0009-0000-0100-000008000000}"/>
  <tableColumns count="25">
    <tableColumn id="1" xr3:uid="{00000000-0010-0000-0100-000001000000}" uniqueName="1" name="ADOT#" queryTableFieldId="1" dataDxfId="103"/>
    <tableColumn id="2" xr3:uid="{00000000-0010-0000-0100-000002000000}" uniqueName="2" name="TIP#" queryTableFieldId="2" dataDxfId="102"/>
    <tableColumn id="3" xr3:uid="{00000000-0010-0000-0100-000003000000}" uniqueName="3" name="Sponsor" queryTableFieldId="3" dataDxfId="101"/>
    <tableColumn id="4" xr3:uid="{00000000-0010-0000-0100-000004000000}" uniqueName="4" name="Action/15" queryTableFieldId="4" dataDxfId="100"/>
    <tableColumn id="5" xr3:uid="{00000000-0010-0000-0100-000005000000}" uniqueName="5" name="Location" queryTableFieldId="5" dataDxfId="99"/>
    <tableColumn id="6" xr3:uid="{00000000-0010-0000-0100-000006000000}" uniqueName="6" name="RTE" queryTableFieldId="6" dataDxfId="98"/>
    <tableColumn id="7" xr3:uid="{00000000-0010-0000-0100-000007000000}" uniqueName="7" name="SEC" queryTableFieldId="7" dataDxfId="97"/>
    <tableColumn id="8" xr3:uid="{00000000-0010-0000-0100-000008000000}" uniqueName="8" name="SEQ" queryTableFieldId="8" dataDxfId="96"/>
    <tableColumn id="9" xr3:uid="{00000000-0010-0000-0100-000009000000}" uniqueName="9" name="PB Expected" queryTableFieldId="9" dataDxfId="95"/>
    <tableColumn id="10" xr3:uid="{00000000-0010-0000-0100-00000A000000}" uniqueName="10" name="PB Received" queryTableFieldId="10" dataDxfId="94"/>
    <tableColumn id="11" xr3:uid="{00000000-0010-0000-0100-00000B000000}" uniqueName="11" name="PF Transmitted" queryTableFieldId="11" dataDxfId="93"/>
    <tableColumn id="12" xr3:uid="{00000000-0010-0000-0100-00000C000000}" uniqueName="12" name="Finance Authorization" queryTableFieldId="12" dataDxfId="92"/>
    <tableColumn id="13" xr3:uid="{00000000-0010-0000-0100-00000D000000}" uniqueName="13" name="HURF EX" queryTableFieldId="13" dataDxfId="91"/>
    <tableColumn id="14" xr3:uid="{00000000-0010-0000-0100-00000E000000}" uniqueName="14" name="HSIP" queryTableFieldId="14" dataDxfId="90"/>
    <tableColumn id="15" xr3:uid="{00000000-0010-0000-0100-00000F000000}" uniqueName="15" name="PL" queryTableFieldId="15" dataDxfId="89"/>
    <tableColumn id="16" xr3:uid="{00000000-0010-0000-0100-000010000000}" uniqueName="16" name="PL-SATO" queryTableFieldId="16" dataDxfId="88"/>
    <tableColumn id="17" xr3:uid="{00000000-0010-0000-0100-000011000000}" uniqueName="17" name="SPR" queryTableFieldId="17" dataDxfId="87"/>
    <tableColumn id="18" xr3:uid="{00000000-0010-0000-0100-000012000000}" uniqueName="18" name="STP &lt;5" queryTableFieldId="18" dataDxfId="86"/>
    <tableColumn id="19" xr3:uid="{00000000-0010-0000-0100-000013000000}" uniqueName="19" name="STP 5-200" queryTableFieldId="19" dataDxfId="85"/>
    <tableColumn id="20" xr3:uid="{00000000-0010-0000-0100-000014000000}" uniqueName="20" name="STP 5-50" queryTableFieldId="20" dataDxfId="84"/>
    <tableColumn id="21" xr3:uid="{00000000-0010-0000-0100-000015000000}" uniqueName="21" name="STP 50-200" queryTableFieldId="21" dataDxfId="83"/>
    <tableColumn id="22" xr3:uid="{00000000-0010-0000-0100-000016000000}" uniqueName="22" name="CRP 50-200" queryTableFieldId="22" dataDxfId="82"/>
    <tableColumn id="23" xr3:uid="{00000000-0010-0000-0100-000017000000}" uniqueName="23" name="STP OTHER" queryTableFieldId="23" dataDxfId="81"/>
    <tableColumn id="24" xr3:uid="{00000000-0010-0000-0100-000018000000}" uniqueName="24" name="TOTAL OF AMOUNT" queryTableFieldId="25" dataDxfId="80">
      <calculatedColumnFormula>SUM(Table_Query_from_MS_Access_Database_1[[#This Row],[HURF EX]:[CRP 50-200]])</calculatedColumnFormula>
    </tableColumn>
    <tableColumn id="25" xr3:uid="{00000000-0010-0000-0100-000019000000}" uniqueName="25" name="DECLINING BALANCE OA" queryTableFieldId="24" dataDxfId="79">
      <calculatedColumnFormula>IF(ISTEXT(INDIRECT(ADDRESS(ROW()-1,COLUMN()))), INDIRECT(ADDRESS(12,COLUMN()))-SUM(Table_Query_from_MS_Access_Database8[TOTAL OF AMOUNT]),INDIRECT(ADDRESS(ROW()-1,COLUMN())))-Table_Query_from_MS_Access_Database_1[[#This Row],[TOTAL OF AMOUNT]]</calculatedColumnFormula>
    </tableColumn>
  </tableColumns>
  <tableStyleInfo name="Table Sty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Query_from_MS_Access_Database" displayName="Table_Query_from_MS_Access_Database" ref="A11:AA66" tableType="queryTable" totalsRowShown="0" headerRowDxfId="110" headerRowBorderDxfId="109" tableBorderDxfId="108" totalsRowBorderDxfId="107" headerRowCellStyle="Comma" dataCellStyle="Comma">
  <autoFilter ref="A11:AA66" xr:uid="{00000000-000C-0000-FFFF-FFFF02000000}"/>
  <tableColumns count="27">
    <tableColumn id="1" xr3:uid="{025D52AB-D3A7-4623-B6D7-3FF964A8BB52}" uniqueName="1" name="Transaction Year" queryTableFieldId="1" dataDxfId="26" dataCellStyle="Comma"/>
    <tableColumn id="2" xr3:uid="{106AF77F-5937-4753-949F-1800980B243A}" uniqueName="2" name="Transaction Type" queryTableFieldId="2" dataDxfId="25" dataCellStyle="Comma"/>
    <tableColumn id="3" xr3:uid="{FBA1DFD9-8684-4D86-AAC2-51EB8103F69A}" uniqueName="3" name="Number" queryTableFieldId="3" dataDxfId="24" dataCellStyle="Comma"/>
    <tableColumn id="4" xr3:uid="{0C117663-6997-49A1-80BE-70654371B400}" uniqueName="4" name="From" queryTableFieldId="4" dataDxfId="23" dataCellStyle="Comma"/>
    <tableColumn id="5" xr3:uid="{53A8C22E-70D2-43F4-AB59-05BC1E02B36C}" uniqueName="5" name="To" queryTableFieldId="5" dataDxfId="22" dataCellStyle="Comma"/>
    <tableColumn id="6" xr3:uid="{BA2F07BC-E6A7-4BAF-89AE-34D6B6F677C3}" uniqueName="6" name="Repayment Year" queryTableFieldId="6" dataDxfId="21" dataCellStyle="Comma"/>
    <tableColumn id="7" xr3:uid="{B22772F8-9161-4D5C-A9E3-BEF62C497A4F}" uniqueName="7" name="Project8" queryTableFieldId="7" dataDxfId="20" dataCellStyle="Comma"/>
    <tableColumn id="8" xr3:uid="{C61C233E-D6A1-4943-8ECD-AAF528F03BD2}" uniqueName="8" name="Notes" queryTableFieldId="8" dataDxfId="19" dataCellStyle="Comma"/>
    <tableColumn id="9" xr3:uid="{41601A03-1F23-467F-A182-D5C92DB8D5D7}" uniqueName="9" name="Total" queryTableFieldId="9" dataDxfId="18" dataCellStyle="Comma"/>
    <tableColumn id="10" xr3:uid="{C8053EFE-4319-4462-A92B-4C0737986014}" uniqueName="10" name="CMAQ" queryTableFieldId="10" dataDxfId="17" dataCellStyle="Comma"/>
    <tableColumn id="11" xr3:uid="{71869237-AC94-418B-B3F8-B7394BC0E918}" uniqueName="11" name="CMAQ 25" queryTableFieldId="11" dataDxfId="16" dataCellStyle="Comma"/>
    <tableColumn id="12" xr3:uid="{352A1A0B-05EF-462C-AE7B-7A9A207F265C}" uniqueName="12" name="HURF Exchange" queryTableFieldId="12" dataDxfId="15" dataCellStyle="Comma"/>
    <tableColumn id="13" xr3:uid="{864C06CC-68DF-458F-9E7E-DFF66474FC1D}" uniqueName="13" name="HSIP" queryTableFieldId="13" dataDxfId="14" dataCellStyle="Comma"/>
    <tableColumn id="14" xr3:uid="{481D8C73-8F41-41DD-9497-9FEB2BF390EB}" uniqueName="14" name="PLAN" queryTableFieldId="14" dataDxfId="13" dataCellStyle="Comma"/>
    <tableColumn id="15" xr3:uid="{E90A418E-989D-40C2-9204-A2B9AB62D142}" uniqueName="15" name="PLAN SATO" queryTableFieldId="15" dataDxfId="12" dataCellStyle="Comma"/>
    <tableColumn id="16" xr3:uid="{B87CE4B6-AFED-4351-80DC-0E26CCC60222}" uniqueName="16" name="SPR" queryTableFieldId="16" dataDxfId="11" dataCellStyle="Comma"/>
    <tableColumn id="17" xr3:uid="{C265759B-EB5C-4569-B61B-B0F5B7C8809B}" uniqueName="17" name="STP &lt;5" queryTableFieldId="17" dataDxfId="10" dataCellStyle="Comma"/>
    <tableColumn id="18" xr3:uid="{1F529C0E-46C0-41B5-9D4C-9D1E398C6AE9}" uniqueName="18" name="STP 5-2" queryTableFieldId="18" dataDxfId="9" dataCellStyle="Comma"/>
    <tableColumn id="19" xr3:uid="{725DC9D4-4504-4CEC-8DA4-DD4C161E78CE}" uniqueName="19" name="STP 5-50" queryTableFieldId="19" dataDxfId="8" dataCellStyle="Comma"/>
    <tableColumn id="20" xr3:uid="{AA0CD932-9C03-4C29-8B3D-E38ED413A205}" uniqueName="20" name="STP 50-200" queryTableFieldId="20" dataDxfId="7" dataCellStyle="Comma"/>
    <tableColumn id="21" xr3:uid="{395BD53D-C97F-4A29-B7BE-FD97893C491F}" uniqueName="21" name="CRP 50-200" queryTableFieldId="21" dataDxfId="6" dataCellStyle="Comma"/>
    <tableColumn id="22" xr3:uid="{871A882D-37A2-4C01-BA27-EA56C6A404EA}" uniqueName="22" name="STP FLEX" queryTableFieldId="22" dataDxfId="5" dataCellStyle="Comma"/>
    <tableColumn id="23" xr3:uid="{BBC0C749-DF89-4E90-8DA0-CFE54C0B419E}" uniqueName="23" name="STP &gt;200" queryTableFieldId="23" dataDxfId="4" dataCellStyle="Comma"/>
    <tableColumn id="24" xr3:uid="{C80BB3F3-2864-4390-A69E-D48718869602}" uniqueName="24" name="TAP FLEX" queryTableFieldId="24" dataDxfId="3" dataCellStyle="Comma"/>
    <tableColumn id="25" xr3:uid="{25918E79-23CE-4E7A-BBBF-C3AD75A97CB2}" uniqueName="25" name="TAP &gt;200" queryTableFieldId="25" dataDxfId="2" dataCellStyle="Comma"/>
    <tableColumn id="26" xr3:uid="{6324708E-FF74-4829-8867-850F06018D89}" uniqueName="26" name="TAP &lt;5" queryTableFieldId="26" dataDxfId="1" dataCellStyle="Comma"/>
    <tableColumn id="27" xr3:uid="{0F22CB5B-5420-4F20-B0A3-4ADC7685639B}" uniqueName="27" name="TAP 5-2" queryTableFieldId="27" dataDxfId="0" dataCellStyle="Comma"/>
  </tableColumns>
  <tableStyleInfo name="Table Sty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Query_from_MS_Access_Database_16" displayName="Table_Query_from_MS_Access_Database_16" ref="A69:AA124" tableType="queryTable" totalsRowShown="0" headerRowDxfId="106" dataDxfId="105" tableBorderDxfId="104" headerRowCellStyle="Comma" dataCellStyle="Comma">
  <autoFilter ref="A69:AA124" xr:uid="{00000000-000C-0000-FFFF-FFFF03000000}"/>
  <tableColumns count="27">
    <tableColumn id="1" xr3:uid="{EF2108B4-0817-406C-95B9-A10A2B9CF5A7}" uniqueName="1" name="Transaction Year" queryTableFieldId="1" dataDxfId="53" dataCellStyle="Comma"/>
    <tableColumn id="2" xr3:uid="{BE71BE92-E847-4872-B7F7-569D9649C1E2}" uniqueName="2" name="Transaction Type" queryTableFieldId="2" dataDxfId="52" dataCellStyle="Comma"/>
    <tableColumn id="3" xr3:uid="{58782069-5BD1-4C03-B8B3-617B1E097B37}" uniqueName="3" name="Number" queryTableFieldId="3" dataDxfId="51" dataCellStyle="Comma"/>
    <tableColumn id="4" xr3:uid="{E5410731-EFD4-4729-AA21-12B9594E96D1}" uniqueName="4" name="From" queryTableFieldId="4" dataDxfId="50" dataCellStyle="Comma"/>
    <tableColumn id="5" xr3:uid="{97F9ECFB-8DCC-4E2A-BC66-C4031B65401F}" uniqueName="5" name="To" queryTableFieldId="5" dataDxfId="49" dataCellStyle="Comma"/>
    <tableColumn id="6" xr3:uid="{97AE356E-789D-4D40-AC4A-EF65F7A99788}" uniqueName="6" name="Repayment Year" queryTableFieldId="6" dataDxfId="48" dataCellStyle="Comma"/>
    <tableColumn id="7" xr3:uid="{D4D89087-42C7-47F0-8B70-CDD3A29CF7B3}" uniqueName="7" name="Project8" queryTableFieldId="7" dataDxfId="47" dataCellStyle="Comma"/>
    <tableColumn id="8" xr3:uid="{40553684-8235-4FC8-9BE6-22F94F39D390}" uniqueName="8" name="Notes" queryTableFieldId="8" dataDxfId="46" dataCellStyle="Comma"/>
    <tableColumn id="9" xr3:uid="{7EF67505-EF4D-42F6-844D-48D34E59F7F4}" uniqueName="9" name="Total" queryTableFieldId="9" dataDxfId="45" dataCellStyle="Comma"/>
    <tableColumn id="10" xr3:uid="{B4F29178-32D3-47A0-9B10-5DC2EBA3E691}" uniqueName="10" name="CMAQ" queryTableFieldId="10" dataDxfId="44" dataCellStyle="Comma"/>
    <tableColumn id="11" xr3:uid="{5489C9B2-5BC0-41A6-A282-5F14CF1D4D03}" uniqueName="11" name="CMAQ 25" queryTableFieldId="11" dataDxfId="43" dataCellStyle="Comma"/>
    <tableColumn id="12" xr3:uid="{D79217E8-3DE2-4F5E-9101-A885C4028B09}" uniqueName="12" name="HURF Exchange" queryTableFieldId="12" dataDxfId="42" dataCellStyle="Comma"/>
    <tableColumn id="13" xr3:uid="{7944F3A4-7CC2-432D-8B5B-F2E8CB14426D}" uniqueName="13" name="HSIP" queryTableFieldId="13" dataDxfId="41" dataCellStyle="Comma"/>
    <tableColumn id="14" xr3:uid="{C9DD9345-376B-4D8F-A6A2-50130C0EF721}" uniqueName="14" name="PLAN" queryTableFieldId="14" dataDxfId="40" dataCellStyle="Comma"/>
    <tableColumn id="15" xr3:uid="{D021DD4E-3432-46AD-AA54-66000AB01613}" uniqueName="15" name="PLAN SATO" queryTableFieldId="15" dataDxfId="39" dataCellStyle="Comma"/>
    <tableColumn id="16" xr3:uid="{5120E7DF-E29C-4FA0-802E-73EB11E9D47C}" uniqueName="16" name="SPR" queryTableFieldId="16" dataDxfId="38" dataCellStyle="Comma"/>
    <tableColumn id="17" xr3:uid="{CD4DBFDA-658F-4425-A4A0-4F7E42570617}" uniqueName="17" name="STP &lt;5" queryTableFieldId="17" dataDxfId="37" dataCellStyle="Comma"/>
    <tableColumn id="18" xr3:uid="{1B65D374-AEBD-48C9-97E3-076969B7E709}" uniqueName="18" name="STP 5-2" queryTableFieldId="18" dataDxfId="36" dataCellStyle="Comma"/>
    <tableColumn id="19" xr3:uid="{52B67448-A1F3-47FD-B071-3EB1E4518938}" uniqueName="19" name="STP 5-50" queryTableFieldId="19" dataDxfId="35" dataCellStyle="Comma"/>
    <tableColumn id="20" xr3:uid="{303CEA96-A220-4D1C-AB88-669B007DBFA0}" uniqueName="20" name="STP 50-200" queryTableFieldId="20" dataDxfId="34" dataCellStyle="Comma"/>
    <tableColumn id="21" xr3:uid="{DC00FD38-3877-4FC9-86A3-590A663F48EC}" uniqueName="21" name="CRP 50-200" queryTableFieldId="21" dataDxfId="33" dataCellStyle="Comma"/>
    <tableColumn id="22" xr3:uid="{44B355CB-3DCE-4A9C-A650-1FADFC582B27}" uniqueName="22" name="STP FLEX" queryTableFieldId="22" dataDxfId="32" dataCellStyle="Comma"/>
    <tableColumn id="23" xr3:uid="{87A4AF8F-09C6-4584-BDCB-702ED532E863}" uniqueName="23" name="STP &gt;200" queryTableFieldId="23" dataDxfId="31" dataCellStyle="Comma"/>
    <tableColumn id="24" xr3:uid="{00CABB2B-B0BF-4AC1-8D70-6A8364DA19FC}" uniqueName="24" name="TAP FLEX" queryTableFieldId="24" dataDxfId="30" dataCellStyle="Comma"/>
    <tableColumn id="25" xr3:uid="{37CCA056-F9CB-42EF-ACF3-B61DEC26FB46}" uniqueName="25" name="TAP &gt;200" queryTableFieldId="25" dataDxfId="29" dataCellStyle="Comma"/>
    <tableColumn id="26" xr3:uid="{3EEC2541-3788-417A-B39D-E8303CCBBD52}" uniqueName="26" name="TAP &lt;5" queryTableFieldId="26" dataDxfId="28" dataCellStyle="Comma"/>
    <tableColumn id="27" xr3:uid="{9AFA0560-100F-4C2B-9C3B-335CE2ACE442}" uniqueName="27" name="TAP 5-2" queryTableFieldId="27" dataDxfId="27" dataCellStyle="Comma"/>
  </tableColumns>
  <tableStyleInfo name="Table Style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62"/>
  <sheetViews>
    <sheetView tabSelected="1" topLeftCell="A3" zoomScaleNormal="100" zoomScaleSheetLayoutView="115" workbookViewId="0">
      <selection activeCell="A3" sqref="A3:D3"/>
    </sheetView>
  </sheetViews>
  <sheetFormatPr defaultColWidth="32" defaultRowHeight="13.8" outlineLevelCol="1"/>
  <cols>
    <col min="1" max="1" width="12.6640625" style="24" customWidth="1"/>
    <col min="2" max="2" width="12.5546875" style="24" customWidth="1"/>
    <col min="3" max="3" width="11" style="24" customWidth="1"/>
    <col min="4" max="4" width="13.109375" style="24" customWidth="1"/>
    <col min="5" max="5" width="40.6640625" style="24" customWidth="1"/>
    <col min="6" max="6" width="10.88671875" style="24" hidden="1" customWidth="1" outlineLevel="1"/>
    <col min="7" max="7" width="9.109375" style="24" hidden="1" customWidth="1" outlineLevel="1"/>
    <col min="8" max="8" width="9.33203125" style="24" hidden="1" customWidth="1" outlineLevel="1"/>
    <col min="9" max="9" width="10.6640625" style="24" customWidth="1" collapsed="1"/>
    <col min="10" max="10" width="12.6640625" style="24" customWidth="1"/>
    <col min="11" max="11" width="13" style="24" customWidth="1"/>
    <col min="12" max="12" width="15.6640625" style="24" customWidth="1"/>
    <col min="13" max="13" width="18.6640625" style="24" customWidth="1"/>
    <col min="14" max="20" width="14.6640625" style="27" customWidth="1"/>
    <col min="21" max="21" width="13.6640625" style="24" customWidth="1"/>
    <col min="22" max="22" width="12.5546875" style="24" customWidth="1"/>
    <col min="23" max="23" width="12" style="24" customWidth="1"/>
    <col min="24" max="24" width="14.5546875" style="24" customWidth="1"/>
    <col min="25" max="25" width="18.44140625" style="24" customWidth="1"/>
    <col min="26" max="26" width="8.88671875" style="24" customWidth="1"/>
    <col min="27" max="16384" width="32" style="24"/>
  </cols>
  <sheetData>
    <row r="1" spans="1:25" ht="23.25" customHeight="1">
      <c r="A1" s="206" t="s">
        <v>126</v>
      </c>
      <c r="B1" s="206"/>
      <c r="C1" s="206"/>
      <c r="D1" s="206"/>
      <c r="E1" s="206"/>
      <c r="F1" s="206"/>
      <c r="J1" s="25"/>
      <c r="K1" s="26"/>
      <c r="L1" s="25"/>
      <c r="M1" s="202" t="s">
        <v>74</v>
      </c>
      <c r="N1" s="202"/>
      <c r="O1" s="202"/>
      <c r="P1" s="202"/>
      <c r="Q1" s="202"/>
      <c r="R1" s="202"/>
      <c r="S1" s="202"/>
      <c r="T1" s="202"/>
      <c r="U1" s="202"/>
      <c r="V1" s="202"/>
      <c r="W1" s="202"/>
      <c r="X1" s="202"/>
    </row>
    <row r="2" spans="1:25" ht="17.25" customHeight="1">
      <c r="J2" s="25"/>
      <c r="K2" s="25"/>
      <c r="L2" s="25"/>
      <c r="M2" s="201" t="s">
        <v>12</v>
      </c>
      <c r="N2" s="201"/>
      <c r="O2" s="201"/>
      <c r="P2" s="201"/>
      <c r="Q2" s="201"/>
      <c r="R2" s="201"/>
      <c r="S2" s="201"/>
      <c r="T2" s="201"/>
      <c r="U2" s="201"/>
      <c r="V2" s="201"/>
      <c r="W2" s="201"/>
      <c r="X2" s="201"/>
    </row>
    <row r="3" spans="1:25" ht="27.6" customHeight="1">
      <c r="A3" s="207" t="s">
        <v>245</v>
      </c>
      <c r="B3" s="207"/>
      <c r="C3" s="207"/>
      <c r="D3" s="207"/>
      <c r="E3" s="28"/>
      <c r="F3" s="28"/>
      <c r="G3" s="28"/>
      <c r="J3" s="25"/>
      <c r="K3" s="62"/>
      <c r="L3" s="108" t="s">
        <v>11</v>
      </c>
      <c r="M3" s="109" t="s">
        <v>132</v>
      </c>
      <c r="N3" s="110" t="s">
        <v>57</v>
      </c>
      <c r="O3" s="110" t="s">
        <v>41</v>
      </c>
      <c r="P3" s="143" t="s">
        <v>188</v>
      </c>
      <c r="Q3" s="110" t="s">
        <v>54</v>
      </c>
      <c r="R3" s="110" t="s">
        <v>96</v>
      </c>
      <c r="S3" s="110" t="s">
        <v>100</v>
      </c>
      <c r="T3" s="144" t="s">
        <v>181</v>
      </c>
      <c r="U3" s="158" t="s">
        <v>182</v>
      </c>
      <c r="V3" s="158" t="s">
        <v>183</v>
      </c>
      <c r="W3" s="110" t="s">
        <v>6</v>
      </c>
      <c r="X3" s="110" t="s">
        <v>10</v>
      </c>
      <c r="Y3" s="129" t="s">
        <v>15</v>
      </c>
    </row>
    <row r="4" spans="1:25" ht="23.4">
      <c r="A4" s="194"/>
      <c r="E4" s="29"/>
      <c r="F4" s="29"/>
      <c r="G4" s="29"/>
      <c r="J4" s="25"/>
      <c r="K4" s="25"/>
      <c r="L4" s="111" t="s">
        <v>102</v>
      </c>
      <c r="M4" s="154"/>
      <c r="N4" s="99"/>
      <c r="O4" s="99"/>
      <c r="P4" s="179"/>
      <c r="Q4" s="99"/>
      <c r="R4" s="99"/>
      <c r="S4" s="99"/>
      <c r="T4" s="179"/>
      <c r="U4" s="179"/>
      <c r="V4" s="179">
        <v>43156.650000000023</v>
      </c>
      <c r="W4" s="169"/>
      <c r="X4" s="185">
        <f>SUM(M4:W4)</f>
        <v>43156.650000000023</v>
      </c>
      <c r="Y4" s="186">
        <v>0</v>
      </c>
    </row>
    <row r="5" spans="1:25" ht="26.4" customHeight="1">
      <c r="A5" s="208" t="s">
        <v>242</v>
      </c>
      <c r="B5" s="208"/>
      <c r="C5" s="208"/>
      <c r="D5" s="208"/>
      <c r="J5" s="25"/>
      <c r="K5" s="25"/>
      <c r="L5" s="112" t="s">
        <v>92</v>
      </c>
      <c r="M5" s="113">
        <v>0</v>
      </c>
      <c r="N5" s="114">
        <v>0</v>
      </c>
      <c r="O5" s="160">
        <f>+'FY26 Apportionments'!C5</f>
        <v>162938</v>
      </c>
      <c r="P5" s="170">
        <f>+'FY26 Apportionments'!C6</f>
        <v>4178</v>
      </c>
      <c r="Q5" s="160">
        <f>+'FY26 Apportionments'!D3</f>
        <v>125000</v>
      </c>
      <c r="R5" s="160">
        <f>+'FY26 Apportionments'!D9</f>
        <v>8390</v>
      </c>
      <c r="S5" s="71">
        <f>+'FY26 Apportionments'!D7</f>
        <v>0</v>
      </c>
      <c r="T5" s="159">
        <v>0</v>
      </c>
      <c r="U5" s="170">
        <f>+'FY26 Apportionments'!D8</f>
        <v>303658</v>
      </c>
      <c r="V5" s="170">
        <f>+'FY26 Apportionments'!C10</f>
        <v>130902</v>
      </c>
      <c r="W5" s="71">
        <v>0</v>
      </c>
      <c r="X5" s="114">
        <f t="shared" ref="X5:X11" si="0">SUM(M5:W5)</f>
        <v>735066</v>
      </c>
      <c r="Y5" s="130">
        <f>ROUND(+'Federal Funds Transactions'!$X5*0.949,0)</f>
        <v>697578</v>
      </c>
    </row>
    <row r="6" spans="1:25">
      <c r="A6" s="68" t="s">
        <v>77</v>
      </c>
      <c r="C6" s="53">
        <v>46024</v>
      </c>
      <c r="J6" s="25"/>
      <c r="K6" s="25"/>
      <c r="L6" s="111" t="s">
        <v>65</v>
      </c>
      <c r="M6" s="171">
        <f>SUMIFS(Table_Query_from_MS_Access_Database[[#All],[HURF Exchange]],Table_Query_from_MS_Access_Database[[#All],[Transaction Year]],"2026",Table_Query_from_MS_Access_Database[[#All],[Transaction Type]],"loan in")</f>
        <v>0</v>
      </c>
      <c r="N6" s="148">
        <f>SUMIFS(Table_Query_from_MS_Access_Database[[#All],[HSIP]],Table_Query_from_MS_Access_Database[[#All],[Transaction Year]],"2026",Table_Query_from_MS_Access_Database[[#All],[Transaction Type]],"loan in")</f>
        <v>0</v>
      </c>
      <c r="O6" s="148">
        <f>SUMIFS(Table_Query_from_MS_Access_Database[[#All],[PLAN]],Table_Query_from_MS_Access_Database[[#All],[Transaction Year]],"2026",Table_Query_from_MS_Access_Database[[#All],[Transaction Type]],"loan in")</f>
        <v>0</v>
      </c>
      <c r="P6" s="148">
        <f>SUMIFS(Table_Query_from_MS_Access_Database[[#All],[PLAN SATO]],Table_Query_from_MS_Access_Database[[#All],[Transaction Year]],"2026",Table_Query_from_MS_Access_Database[[#All],[Transaction Type]],"loan in")</f>
        <v>0</v>
      </c>
      <c r="Q6" s="148">
        <f>SUMIFS(Table_Query_from_MS_Access_Database[[#All],[SPR]],Table_Query_from_MS_Access_Database[[#All],[Transaction Year]],"2026",Table_Query_from_MS_Access_Database[[#All],[Transaction Type]],"loan in")</f>
        <v>0</v>
      </c>
      <c r="R6" s="148">
        <f>SUMIFS(Table_Query_from_MS_Access_Database[[#All],[STP &lt;5]],Table_Query_from_MS_Access_Database[[#All],[Transaction Year]],"2026",Table_Query_from_MS_Access_Database[[#All],[Transaction Type]],"loan in")</f>
        <v>0</v>
      </c>
      <c r="S6" s="148">
        <f>SUMIFS(Table_Query_from_MS_Access_Database[[#All],[STP 5-2]],Table_Query_from_MS_Access_Database[[#All],[Transaction Year]],"2026",Table_Query_from_MS_Access_Database[[#All],[Transaction Type]],"loan in")</f>
        <v>0</v>
      </c>
      <c r="T6" s="148">
        <f>SUMIFS(Table_Query_from_MS_Access_Database[[#All],[STP 5-50]],Table_Query_from_MS_Access_Database[[#All],[Transaction Year]],"2026",Table_Query_from_MS_Access_Database[[#All],[Transaction Type]],"loan in")</f>
        <v>0</v>
      </c>
      <c r="U6" s="148">
        <f>SUMIFS(Table_Query_from_MS_Access_Database[[#All],[STP 50-200]],Table_Query_from_MS_Access_Database[[#All],[Transaction Year]],"2026",Table_Query_from_MS_Access_Database[[#All],[Transaction Type]],"loan in")</f>
        <v>0</v>
      </c>
      <c r="V6" s="148">
        <f>SUMIFS(Table_Query_from_MS_Access_Database[[#All],[CRP 50-200]],Table_Query_from_MS_Access_Database[[#All],[Transaction Year]],"2026",Table_Query_from_MS_Access_Database[[#All],[Transaction Type]],"loan in")</f>
        <v>0</v>
      </c>
      <c r="W6" s="148">
        <f>SUMIFS(Table_Query_from_MS_Access_Database[[#All],[STP FLEX]],Table_Query_from_MS_Access_Database[[#All],[Transaction Year]],"2026",Table_Query_from_MS_Access_Database[[#All],[Transaction Type]],"loan in")</f>
        <v>0</v>
      </c>
      <c r="X6" s="155">
        <f t="shared" si="0"/>
        <v>0</v>
      </c>
      <c r="Y6" s="131">
        <f>SUMIFS(Table_Query_from_MS_Access_Database_16[[#All],[Total]],Table_Query_from_MS_Access_Database_16[[#All],[Transaction Year]],"2026",Table_Query_from_MS_Access_Database_16[[#All],[Transaction Type]],"Loan In")</f>
        <v>0</v>
      </c>
    </row>
    <row r="7" spans="1:25">
      <c r="A7" s="31"/>
      <c r="J7" s="25"/>
      <c r="K7" s="25"/>
      <c r="L7" s="112" t="s">
        <v>66</v>
      </c>
      <c r="M7" s="132">
        <f>SUMIFS(Table_Query_from_MS_Access_Database[[#All],[HURF Exchange]],Table_Query_from_MS_Access_Database[[#All],[Transaction Year]],"2026",Table_Query_from_MS_Access_Database[[#All],[Transaction Type]],"loan Out")</f>
        <v>0</v>
      </c>
      <c r="N7" s="165">
        <f>SUMIFS(Table_Query_from_MS_Access_Database[[#All],[HSIP]],Table_Query_from_MS_Access_Database[[#All],[Transaction Year]],"2026",Table_Query_from_MS_Access_Database[[#All],[Transaction Type]],"loan Out")</f>
        <v>0</v>
      </c>
      <c r="O7" s="165">
        <f>SUMIFS(Table_Query_from_MS_Access_Database[[#All],[PLAN]],Table_Query_from_MS_Access_Database[[#All],[Transaction Year]],"2026",Table_Query_from_MS_Access_Database[[#All],[Transaction Type]],"loan Out")</f>
        <v>0</v>
      </c>
      <c r="P7" s="165">
        <f>SUMIFS(Table_Query_from_MS_Access_Database[[#All],[PLAN SATO]],Table_Query_from_MS_Access_Database[[#All],[Transaction Year]],"2026",Table_Query_from_MS_Access_Database[[#All],[Transaction Type]],"loan Out")</f>
        <v>0</v>
      </c>
      <c r="Q7" s="165">
        <f>SUMIFS(Table_Query_from_MS_Access_Database[[#All],[SPR]],Table_Query_from_MS_Access_Database[[#All],[Transaction Year]],"2026",Table_Query_from_MS_Access_Database[[#All],[Transaction Type]],"loan Out")</f>
        <v>0</v>
      </c>
      <c r="R7" s="165">
        <f>SUMIFS(Table_Query_from_MS_Access_Database[[#All],[STP &lt;5]],Table_Query_from_MS_Access_Database[[#All],[Transaction Year]],"2026",Table_Query_from_MS_Access_Database[[#All],[Transaction Type]],"loan Out")</f>
        <v>0</v>
      </c>
      <c r="S7" s="165">
        <f>SUMIFS(Table_Query_from_MS_Access_Database[[#All],[STP 5-2]],Table_Query_from_MS_Access_Database[[#All],[Transaction Year]],"2026",Table_Query_from_MS_Access_Database[[#All],[Transaction Type]],"loan Out")</f>
        <v>0</v>
      </c>
      <c r="T7" s="165">
        <f>SUMIFS(Table_Query_from_MS_Access_Database[[#All],[STP 5-50]],Table_Query_from_MS_Access_Database[[#All],[Transaction Year]],"2026",Table_Query_from_MS_Access_Database[[#All],[Transaction Type]],"loan Out")</f>
        <v>0</v>
      </c>
      <c r="U7" s="165">
        <f>SUMIFS(Table_Query_from_MS_Access_Database[[#All],[STP 50-200]],Table_Query_from_MS_Access_Database[[#All],[Transaction Year]],"2026",Table_Query_from_MS_Access_Database[[#All],[Transaction Type]],"loan Out")</f>
        <v>0</v>
      </c>
      <c r="V7" s="165">
        <f>SUMIFS(Table_Query_from_MS_Access_Database[[#All],[CRP 50-200]],Table_Query_from_MS_Access_Database[[#All],[Transaction Year]],"2026",Table_Query_from_MS_Access_Database[[#All],[Transaction Type]],"loan Out")</f>
        <v>0</v>
      </c>
      <c r="W7" s="165">
        <f>SUMIFS(Table_Query_from_MS_Access_Database[[#All],[STP FLEX]],Table_Query_from_MS_Access_Database[[#All],[Transaction Year]],"2026",Table_Query_from_MS_Access_Database[[#All],[Transaction Type]],"loan Out")</f>
        <v>0</v>
      </c>
      <c r="X7" s="114">
        <f t="shared" si="0"/>
        <v>0</v>
      </c>
      <c r="Y7" s="132">
        <f>SUMIFS(Table_Query_from_MS_Access_Database_16[[#All],[Total]],Table_Query_from_MS_Access_Database_16[[#All],[Transaction Year]],"2026",Table_Query_from_MS_Access_Database_16[[#All],[Transaction Type]],"Loan Out")</f>
        <v>0</v>
      </c>
    </row>
    <row r="8" spans="1:25">
      <c r="J8" s="25"/>
      <c r="K8" s="25"/>
      <c r="L8" s="111" t="s">
        <v>67</v>
      </c>
      <c r="M8" s="174">
        <f>SUMIFS(Table_Query_from_MS_Access_Database[[#All],[HURF Exchange]],Table_Query_from_MS_Access_Database[[#All],[Transaction Year]],"2026",Table_Query_from_MS_Access_Database[[#All],[Transaction Type]],"repayment in")</f>
        <v>0</v>
      </c>
      <c r="N8" s="175">
        <f>SUMIFS(Table_Query_from_MS_Access_Database[[#All],[HSIP]],Table_Query_from_MS_Access_Database[[#All],[Transaction Year]],"2026",Table_Query_from_MS_Access_Database[[#All],[Transaction Type]],"repayment in")</f>
        <v>0</v>
      </c>
      <c r="O8" s="145">
        <f>SUMIFS(Table_Query_from_MS_Access_Database[[#All],[PLAN]],Table_Query_from_MS_Access_Database[[#All],[Transaction Year]],"2026",Table_Query_from_MS_Access_Database[[#All],[Transaction Type]],"repayment in")</f>
        <v>0</v>
      </c>
      <c r="P8" s="145">
        <f>SUMIFS(Table_Query_from_MS_Access_Database[[#All],[PLAN SATO]],Table_Query_from_MS_Access_Database[[#All],[Transaction Year]],"2026",Table_Query_from_MS_Access_Database[[#All],[Transaction Type]],"repayment in")</f>
        <v>0</v>
      </c>
      <c r="Q8" s="145">
        <f>SUMIFS(Table_Query_from_MS_Access_Database[[#All],[SPR]],Table_Query_from_MS_Access_Database[[#All],[Transaction Year]],"2026",Table_Query_from_MS_Access_Database[[#All],[Transaction Type]],"repayment in")</f>
        <v>0</v>
      </c>
      <c r="R8" s="145">
        <f>SUMIFS(Table_Query_from_MS_Access_Database[[#All],[STP &lt;5]],Table_Query_from_MS_Access_Database[[#All],[Transaction Year]],"2026",Table_Query_from_MS_Access_Database[[#All],[Transaction Type]],"repayment in")</f>
        <v>0</v>
      </c>
      <c r="S8" s="145">
        <f>SUMIFS(Table_Query_from_MS_Access_Database[[#All],[STP 5-2]],Table_Query_from_MS_Access_Database[[#All],[Transaction Year]],"2026",Table_Query_from_MS_Access_Database[[#All],[Transaction Type]],"repayment in")</f>
        <v>0</v>
      </c>
      <c r="T8" s="145">
        <f>SUMIFS(Table_Query_from_MS_Access_Database[[#All],[STP 5-50]],Table_Query_from_MS_Access_Database[[#All],[Transaction Year]],"2026",Table_Query_from_MS_Access_Database[[#All],[Transaction Type]],"repayment in")</f>
        <v>0</v>
      </c>
      <c r="U8" s="145">
        <f>SUMIFS(Table_Query_from_MS_Access_Database[[#All],[STP 50-200]],Table_Query_from_MS_Access_Database[[#All],[Transaction Year]],"2026",Table_Query_from_MS_Access_Database[[#All],[Transaction Type]],"repayment in")</f>
        <v>1468034.9</v>
      </c>
      <c r="V8" s="145">
        <f>SUMIFS(Table_Query_from_MS_Access_Database[[#All],[CRP 50-200]],Table_Query_from_MS_Access_Database[[#All],[Transaction Year]],"2026",Table_Query_from_MS_Access_Database[[#All],[Transaction Type]],"repayment in")</f>
        <v>458421.35</v>
      </c>
      <c r="W8" s="145">
        <f>SUMIFS(Table_Query_from_MS_Access_Database[[#All],[STP FLEX]],Table_Query_from_MS_Access_Database[[#All],[Transaction Year]],"2026",Table_Query_from_MS_Access_Database[[#All],[Transaction Type]],"repayment in")</f>
        <v>0</v>
      </c>
      <c r="X8" s="155">
        <f t="shared" si="0"/>
        <v>1926456.25</v>
      </c>
      <c r="Y8" s="131">
        <f>SUMIFS(Table_Query_from_MS_Access_Database_16[[#All],[Total]],Table_Query_from_MS_Access_Database_16[[#All],[Transaction Year]],"2026",Table_Query_from_MS_Access_Database_16[[#All],[Transaction Type]],"repayment In")</f>
        <v>1926456.25</v>
      </c>
    </row>
    <row r="9" spans="1:25" ht="16.5" customHeight="1">
      <c r="A9" s="209" t="s">
        <v>80</v>
      </c>
      <c r="B9" s="210"/>
      <c r="C9" s="210"/>
      <c r="D9" s="210"/>
      <c r="E9" s="210"/>
      <c r="F9" s="210"/>
      <c r="G9" s="210"/>
      <c r="H9" s="210"/>
      <c r="I9" s="210"/>
      <c r="J9" s="210"/>
      <c r="L9" s="112" t="s">
        <v>68</v>
      </c>
      <c r="M9" s="132">
        <f>SUMIFS(Table_Query_from_MS_Access_Database[[#All],[HURF Exchange]],Table_Query_from_MS_Access_Database[[#All],[Transaction Year]],"2026",Table_Query_from_MS_Access_Database[[#All],[Transaction Type]],"repayment Out")</f>
        <v>0</v>
      </c>
      <c r="N9" s="73">
        <f>SUMIFS(Table_Query_from_MS_Access_Database[[#All],[HSIP]],Table_Query_from_MS_Access_Database[[#All],[Transaction Year]],"2026",Table_Query_from_MS_Access_Database[[#All],[Transaction Type]],"repayment Out")</f>
        <v>0</v>
      </c>
      <c r="O9" s="73">
        <f>SUMIFS(Table_Query_from_MS_Access_Database[[#All],[PLAN]],Table_Query_from_MS_Access_Database[[#All],[Transaction Year]],"2026",Table_Query_from_MS_Access_Database[[#All],[Transaction Type]],"repayment Out")</f>
        <v>0</v>
      </c>
      <c r="P9" s="73">
        <f>SUMIFS(Table_Query_from_MS_Access_Database[[#All],[PLAN SATO]],Table_Query_from_MS_Access_Database[[#All],[Transaction Year]],"2026",Table_Query_from_MS_Access_Database[[#All],[Transaction Type]],"repayment Out")</f>
        <v>0</v>
      </c>
      <c r="Q9" s="73">
        <f>SUMIFS(Table_Query_from_MS_Access_Database[[#All],[SPR]],Table_Query_from_MS_Access_Database[[#All],[Transaction Year]],"2026",Table_Query_from_MS_Access_Database[[#All],[Transaction Type]],"repayment Out")</f>
        <v>0</v>
      </c>
      <c r="R9" s="73">
        <f>SUMIFS(Table_Query_from_MS_Access_Database[[#All],[STP &lt;5]],Table_Query_from_MS_Access_Database[[#All],[Transaction Year]],"2026",Table_Query_from_MS_Access_Database[[#All],[Transaction Type]],"repayment Out")</f>
        <v>0</v>
      </c>
      <c r="S9" s="73">
        <f>SUMIFS(Table_Query_from_MS_Access_Database[[#All],[STP 5-2]],Table_Query_from_MS_Access_Database[[#All],[Transaction Year]],"2026",Table_Query_from_MS_Access_Database[[#All],[Transaction Type]],"repayment Out")</f>
        <v>0</v>
      </c>
      <c r="T9" s="178">
        <f>SUMIFS(Table_Query_from_MS_Access_Database[[#All],[STP 5-50]],Table_Query_from_MS_Access_Database[[#All],[Transaction Year]],"2026",Table_Query_from_MS_Access_Database[[#All],[Transaction Type]],"repayment Out")</f>
        <v>0</v>
      </c>
      <c r="U9" s="73">
        <f>SUMIFS(Table_Query_from_MS_Access_Database[[#All],[STP 50-200]],Table_Query_from_MS_Access_Database[[#All],[Transaction Year]],"2026",Table_Query_from_MS_Access_Database[[#All],[Transaction Type]],"repayment Out")</f>
        <v>0</v>
      </c>
      <c r="V9" s="73">
        <f>SUMIFS(Table_Query_from_MS_Access_Database[[#All],[CRP 50-200]],Table_Query_from_MS_Access_Database[[#All],[Transaction Year]],"2026",Table_Query_from_MS_Access_Database[[#All],[Transaction Type]],"repayment Out")</f>
        <v>0</v>
      </c>
      <c r="W9" s="176">
        <f>SUMIFS(Table_Query_from_MS_Access_Database[[#All],[STP FLEX]],Table_Query_from_MS_Access_Database[[#All],[Transaction Year]],"2026",Table_Query_from_MS_Access_Database[[#All],[Transaction Type]],"repayment Out")</f>
        <v>0</v>
      </c>
      <c r="X9" s="114">
        <f t="shared" si="0"/>
        <v>0</v>
      </c>
      <c r="Y9" s="132">
        <f>SUMIFS(Table_Query_from_MS_Access_Database_16[[#All],[Total]],Table_Query_from_MS_Access_Database_16[[#All],[Transaction Year]],"2026",Table_Query_from_MS_Access_Database_16[[#All],[Transaction Type]],"Repayment Out")</f>
        <v>0</v>
      </c>
    </row>
    <row r="10" spans="1:25">
      <c r="J10" s="25"/>
      <c r="K10" s="25"/>
      <c r="L10" s="111" t="s">
        <v>69</v>
      </c>
      <c r="M10" s="131">
        <f>SUMIFS(Table_Query_from_MS_Access_Database[[#All],[HURF Exchange]],Table_Query_from_MS_Access_Database[[#All],[Transaction Year]],"2026",Table_Query_from_MS_Access_Database[[#All],[Transaction Type]],"Transfer in")</f>
        <v>0</v>
      </c>
      <c r="N10" s="145">
        <f>SUMIFS(Table_Query_from_MS_Access_Database[[#All],[HSIP]],Table_Query_from_MS_Access_Database[[#All],[Transaction Year]],"2026",Table_Query_from_MS_Access_Database[[#All],[Transaction Type]],"Transfer in")</f>
        <v>0</v>
      </c>
      <c r="O10" s="145">
        <f>SUMIFS(Table_Query_from_MS_Access_Database[[#All],[PLAN]],Table_Query_from_MS_Access_Database[[#All],[Transaction Year]],"2026",Table_Query_from_MS_Access_Database[[#All],[Transaction Type]],"Transfer in")</f>
        <v>0</v>
      </c>
      <c r="P10" s="145">
        <f>SUMIFS(Table_Query_from_MS_Access_Database[[#All],[PLAN SATO]],Table_Query_from_MS_Access_Database[[#All],[Transaction Year]],"2026",Table_Query_from_MS_Access_Database[[#All],[Transaction Type]],"Transfer in")</f>
        <v>0</v>
      </c>
      <c r="Q10" s="145">
        <f>SUMIFS(Table_Query_from_MS_Access_Database[[#All],[SPR]],Table_Query_from_MS_Access_Database[[#All],[Transaction Year]],"2026",Table_Query_from_MS_Access_Database[[#All],[Transaction Type]],"Transfer in")</f>
        <v>0</v>
      </c>
      <c r="R10" s="145">
        <f>SUMIFS(Table_Query_from_MS_Access_Database[[#All],[STP &lt;5]],Table_Query_from_MS_Access_Database[[#All],[Transaction Year]],"2026",Table_Query_from_MS_Access_Database[[#All],[Transaction Type]],"Transfer in")</f>
        <v>0</v>
      </c>
      <c r="S10" s="145">
        <f>SUMIFS(Table_Query_from_MS_Access_Database[[#All],[STP 5-2]],Table_Query_from_MS_Access_Database[[#All],[Transaction Year]],"2026",Table_Query_from_MS_Access_Database[[#All],[Transaction Type]],"Transfer in")</f>
        <v>0</v>
      </c>
      <c r="T10" s="145">
        <f>SUMIFS(Table_Query_from_MS_Access_Database[[#All],[STP 5-50]],Table_Query_from_MS_Access_Database[[#All],[Transaction Year]],"2026",Table_Query_from_MS_Access_Database[[#All],[Transaction Type]],"Transfer in")</f>
        <v>0</v>
      </c>
      <c r="U10" s="145">
        <f>SUMIFS(Table_Query_from_MS_Access_Database[[#All],[STP 50-200]],Table_Query_from_MS_Access_Database[[#All],[Transaction Year]],"2026",Table_Query_from_MS_Access_Database[[#All],[Transaction Type]],"Transfer in")</f>
        <v>0</v>
      </c>
      <c r="V10" s="145">
        <f>SUMIFS(Table_Query_from_MS_Access_Database[[#All],[CRP 50-200]],Table_Query_from_MS_Access_Database[[#All],[Transaction Year]],"2026",Table_Query_from_MS_Access_Database[[#All],[Transaction Type]],"Transfer in")</f>
        <v>0</v>
      </c>
      <c r="W10" s="173">
        <f>SUMIFS(Table_Query_from_MS_Access_Database[[#All],[STP FLEX]],Table_Query_from_MS_Access_Database[[#All],[Transaction Year]],"2026",Table_Query_from_MS_Access_Database[[#All],[Transaction Type]],"Transfer in")</f>
        <v>0</v>
      </c>
      <c r="X10" s="155">
        <f t="shared" si="0"/>
        <v>0</v>
      </c>
      <c r="Y10" s="131">
        <f>SUMIFS(Table_Query_from_MS_Access_Database_16[[#All],[Total]],Table_Query_from_MS_Access_Database_16[[#All],[Transaction Year]],"2026",Table_Query_from_MS_Access_Database_16[[#All],[Transaction Type]],"Transfer In")</f>
        <v>0</v>
      </c>
    </row>
    <row r="11" spans="1:25">
      <c r="F11" s="32"/>
      <c r="G11" s="32"/>
      <c r="J11" s="25"/>
      <c r="K11" s="25"/>
      <c r="L11" s="112" t="s">
        <v>70</v>
      </c>
      <c r="M11" s="172">
        <f>SUMIFS(Table_Query_from_MS_Access_Database[[#All],[HURF Exchange]],Table_Query_from_MS_Access_Database[[#All],[Transaction Year]],"2026",Table_Query_from_MS_Access_Database[[#All],[Transaction Type]],"Transfer Out")</f>
        <v>0</v>
      </c>
      <c r="N11" s="73">
        <f>SUMIFS(Table_Query_from_MS_Access_Database[[#All],[HSIP]],Table_Query_from_MS_Access_Database[[#All],[Transaction Year]],"2026",Table_Query_from_MS_Access_Database[[#All],[Transaction Type]],"Transfer Out")</f>
        <v>0</v>
      </c>
      <c r="O11" s="73">
        <f>SUMIFS(Table_Query_from_MS_Access_Database[[#All],[PLAN]],Table_Query_from_MS_Access_Database[[#All],[Transaction Year]],"2026",Table_Query_from_MS_Access_Database[[#All],[Transaction Type]],"Transfer Out")</f>
        <v>0</v>
      </c>
      <c r="P11" s="73">
        <f>SUMIFS(Table_Query_from_MS_Access_Database[[#All],[PLAN SATO]],Table_Query_from_MS_Access_Database[[#All],[Transaction Year]],"2026",Table_Query_from_MS_Access_Database[[#All],[Transaction Type]],"Transfer Out")</f>
        <v>0</v>
      </c>
      <c r="Q11" s="73">
        <f>SUMIFS(Table_Query_from_MS_Access_Database[[#All],[SPR]],Table_Query_from_MS_Access_Database[[#All],[Transaction Year]],"2026",Table_Query_from_MS_Access_Database[[#All],[Transaction Type]],"Transfer Out")</f>
        <v>0</v>
      </c>
      <c r="R11" s="73">
        <f>SUMIFS(Table_Query_from_MS_Access_Database[[#All],[STP &lt;5]],Table_Query_from_MS_Access_Database[[#All],[Transaction Year]],"2026",Table_Query_from_MS_Access_Database[[#All],[Transaction Type]],"Transfer Out")</f>
        <v>0</v>
      </c>
      <c r="S11" s="73">
        <f>SUMIFS(Table_Query_from_MS_Access_Database[[#All],[STP 5-2]],Table_Query_from_MS_Access_Database[[#All],[Transaction Year]],"2026",Table_Query_from_MS_Access_Database[[#All],[Transaction Type]],"Transfer Out")</f>
        <v>0</v>
      </c>
      <c r="T11" s="73">
        <f>SUMIFS(Table_Query_from_MS_Access_Database[[#All],[STP 5-50]],Table_Query_from_MS_Access_Database[[#All],[Transaction Year]],"2026",Table_Query_from_MS_Access_Database[[#All],[Transaction Type]],"Transfer Out")</f>
        <v>0</v>
      </c>
      <c r="U11" s="73">
        <f>SUMIFS(Table_Query_from_MS_Access_Database[[#All],[STP 50-200]],Table_Query_from_MS_Access_Database[[#All],[Transaction Year]],"2026",Table_Query_from_MS_Access_Database[[#All],[Transaction Type]],"Transfer Out")</f>
        <v>0</v>
      </c>
      <c r="V11" s="73">
        <f>SUMIFS(Table_Query_from_MS_Access_Database[[#All],[CRP 50-200]],Table_Query_from_MS_Access_Database[[#All],[Transaction Year]],"2026",Table_Query_from_MS_Access_Database[[#All],[Transaction Type]],"Transfer Out")</f>
        <v>0</v>
      </c>
      <c r="W11" s="177">
        <f>SUMIFS(Table_Query_from_MS_Access_Database[[#All],[STP FLEX]],Table_Query_from_MS_Access_Database[[#All],[Transaction Year]],"2026",Table_Query_from_MS_Access_Database[[#All],[Transaction Type]],"Transfer Out")</f>
        <v>0</v>
      </c>
      <c r="X11" s="114">
        <f t="shared" si="0"/>
        <v>0</v>
      </c>
      <c r="Y11" s="132">
        <f>SUMIFS(Table_Query_from_MS_Access_Database_16[[#All],[Total]],Table_Query_from_MS_Access_Database_16[[#All],[Transaction Year]],"2026",Table_Query_from_MS_Access_Database_16[[#All],[Transaction Type]],"Transfer Out")</f>
        <v>0</v>
      </c>
    </row>
    <row r="12" spans="1:25" ht="47.4">
      <c r="J12" s="25"/>
      <c r="K12" s="25"/>
      <c r="L12" s="115" t="s">
        <v>101</v>
      </c>
      <c r="M12" s="116">
        <f t="shared" ref="M12" si="1">SUM(M4:M11)</f>
        <v>0</v>
      </c>
      <c r="N12" s="156">
        <f>SUM(N4:N11)</f>
        <v>0</v>
      </c>
      <c r="O12" s="156">
        <f>SUM(O4:O11)</f>
        <v>162938</v>
      </c>
      <c r="P12" s="156">
        <f>SUM(P4:P11)</f>
        <v>4178</v>
      </c>
      <c r="Q12" s="156">
        <f t="shared" ref="Q12:V12" si="2">SUM(Q4:Q11)</f>
        <v>125000</v>
      </c>
      <c r="R12" s="156">
        <f t="shared" si="2"/>
        <v>8390</v>
      </c>
      <c r="S12" s="156">
        <f t="shared" si="2"/>
        <v>0</v>
      </c>
      <c r="T12" s="156">
        <f t="shared" si="2"/>
        <v>0</v>
      </c>
      <c r="U12" s="156">
        <f t="shared" si="2"/>
        <v>1771692.9</v>
      </c>
      <c r="V12" s="156">
        <f t="shared" si="2"/>
        <v>632480</v>
      </c>
      <c r="W12" s="156">
        <f>SUM(W4:W11)</f>
        <v>0</v>
      </c>
      <c r="X12" s="156">
        <f>SUM(X4:X11)</f>
        <v>2704678.9</v>
      </c>
      <c r="Y12" s="133">
        <f>SUM(Y4:Y11)</f>
        <v>2624034.25</v>
      </c>
    </row>
    <row r="13" spans="1:25">
      <c r="J13" s="25"/>
      <c r="K13" s="25"/>
      <c r="L13" s="25"/>
      <c r="M13" s="25"/>
      <c r="N13" s="33"/>
      <c r="O13" s="34"/>
      <c r="P13" s="34"/>
      <c r="Q13" s="34"/>
      <c r="R13" s="34"/>
      <c r="S13" s="34"/>
      <c r="T13" s="30"/>
    </row>
    <row r="14" spans="1:25" ht="15.75" customHeight="1">
      <c r="A14" s="205" t="s">
        <v>58</v>
      </c>
      <c r="B14" s="205"/>
      <c r="C14" s="205"/>
      <c r="D14" s="205"/>
      <c r="I14" s="211" t="s">
        <v>59</v>
      </c>
      <c r="J14" s="212"/>
      <c r="K14" s="212"/>
      <c r="L14" s="213"/>
      <c r="N14" s="35"/>
      <c r="R14" s="30"/>
      <c r="S14" s="30"/>
      <c r="T14" s="30"/>
    </row>
    <row r="15" spans="1:25" ht="27" customHeight="1">
      <c r="A15" s="96" t="s">
        <v>1</v>
      </c>
      <c r="B15" s="96" t="s">
        <v>0</v>
      </c>
      <c r="C15" s="96" t="s">
        <v>3</v>
      </c>
      <c r="D15" s="96" t="s">
        <v>79</v>
      </c>
      <c r="E15" s="96" t="s">
        <v>2</v>
      </c>
      <c r="F15" s="96" t="s">
        <v>45</v>
      </c>
      <c r="G15" s="96" t="s">
        <v>46</v>
      </c>
      <c r="H15" s="96" t="s">
        <v>47</v>
      </c>
      <c r="I15" s="96" t="s">
        <v>48</v>
      </c>
      <c r="J15" s="96" t="s">
        <v>49</v>
      </c>
      <c r="K15" s="59" t="s">
        <v>50</v>
      </c>
      <c r="L15" s="59" t="s">
        <v>51</v>
      </c>
      <c r="M15" s="96" t="s">
        <v>133</v>
      </c>
      <c r="N15" s="60" t="s">
        <v>4</v>
      </c>
      <c r="O15" s="96" t="s">
        <v>41</v>
      </c>
      <c r="P15" s="60" t="s">
        <v>188</v>
      </c>
      <c r="Q15" s="60" t="s">
        <v>5</v>
      </c>
      <c r="R15" s="61" t="s">
        <v>96</v>
      </c>
      <c r="S15" s="61" t="s">
        <v>130</v>
      </c>
      <c r="T15" s="61" t="s">
        <v>181</v>
      </c>
      <c r="U15" s="59" t="s">
        <v>182</v>
      </c>
      <c r="V15" s="59" t="s">
        <v>183</v>
      </c>
      <c r="W15" s="142" t="s">
        <v>6</v>
      </c>
      <c r="X15" s="110" t="s">
        <v>190</v>
      </c>
      <c r="Y15" s="180" t="s">
        <v>191</v>
      </c>
    </row>
    <row r="16" spans="1:25" s="38" customFormat="1" ht="40.5" customHeight="1">
      <c r="A16" s="38" t="s">
        <v>214</v>
      </c>
      <c r="B16" s="38" t="s">
        <v>196</v>
      </c>
      <c r="C16" s="38" t="s">
        <v>106</v>
      </c>
      <c r="D16" s="38" t="s">
        <v>23</v>
      </c>
      <c r="E16" s="102" t="s">
        <v>215</v>
      </c>
      <c r="F16" s="58" t="s">
        <v>125</v>
      </c>
      <c r="G16" s="58" t="s">
        <v>98</v>
      </c>
      <c r="H16" s="58" t="s">
        <v>213</v>
      </c>
      <c r="I16" s="146">
        <v>45931</v>
      </c>
      <c r="J16" s="103">
        <v>45931</v>
      </c>
      <c r="K16" s="103">
        <v>45931</v>
      </c>
      <c r="L16" s="103">
        <v>45931</v>
      </c>
      <c r="M16" s="103"/>
      <c r="N16" s="105"/>
      <c r="O16" s="101">
        <v>118520.89</v>
      </c>
      <c r="P16" s="101"/>
      <c r="Q16" s="101"/>
      <c r="R16" s="101"/>
      <c r="S16" s="72"/>
      <c r="T16" s="72"/>
      <c r="U16" s="72"/>
      <c r="V16" s="72"/>
      <c r="W16" s="141"/>
      <c r="X16" s="166">
        <f>SUM(Table_Query_from_MS_Access_Database8[[#This Row],[HURF EX]:[STP other]])</f>
        <v>118520.89</v>
      </c>
      <c r="Y16" s="166">
        <f ca="1">IF(ISTEXT(INDIRECT(ADDRESS(ROW()-1,COLUMN()))), INDIRECT(ADDRESS(12,COLUMN())),INDIRECT(ADDRESS(ROW()-1,COLUMN())))-Table_Query_from_MS_Access_Database8[[#This Row],[TOTAL OF AMOUNT]]</f>
        <v>2505513.36</v>
      </c>
    </row>
    <row r="17" spans="1:25" s="38" customFormat="1" ht="13.5" customHeight="1">
      <c r="A17" s="38" t="s">
        <v>211</v>
      </c>
      <c r="B17" s="38" t="s">
        <v>196</v>
      </c>
      <c r="C17" s="38" t="s">
        <v>106</v>
      </c>
      <c r="D17" s="38" t="s">
        <v>23</v>
      </c>
      <c r="E17" s="102" t="s">
        <v>212</v>
      </c>
      <c r="F17" s="58" t="s">
        <v>125</v>
      </c>
      <c r="G17" s="58" t="s">
        <v>97</v>
      </c>
      <c r="H17" s="58" t="s">
        <v>213</v>
      </c>
      <c r="I17" s="146">
        <v>45931</v>
      </c>
      <c r="J17" s="103">
        <v>45931</v>
      </c>
      <c r="K17" s="103">
        <v>45931</v>
      </c>
      <c r="L17" s="103">
        <v>45931</v>
      </c>
      <c r="M17" s="103"/>
      <c r="N17" s="105"/>
      <c r="O17" s="101"/>
      <c r="P17" s="101"/>
      <c r="Q17" s="101">
        <v>82747.75</v>
      </c>
      <c r="R17" s="101"/>
      <c r="S17" s="72"/>
      <c r="T17" s="72"/>
      <c r="U17" s="72"/>
      <c r="V17" s="72"/>
      <c r="W17" s="187"/>
      <c r="X17" s="166">
        <f>SUM(Table_Query_from_MS_Access_Database8[[#This Row],[HURF EX]:[STP other]])</f>
        <v>82747.75</v>
      </c>
      <c r="Y17" s="166">
        <f ca="1">IF(ISTEXT(INDIRECT(ADDRESS(ROW()-1,COLUMN()))), INDIRECT(ADDRESS(12,COLUMN())),INDIRECT(ADDRESS(ROW()-1,COLUMN())))-Table_Query_from_MS_Access_Database8[[#This Row],[TOTAL OF AMOUNT]]</f>
        <v>2422765.61</v>
      </c>
    </row>
    <row r="18" spans="1:25" s="38" customFormat="1" ht="13.5" customHeight="1">
      <c r="A18" s="38" t="s">
        <v>246</v>
      </c>
      <c r="B18" s="38" t="s">
        <v>196</v>
      </c>
      <c r="C18" s="38" t="s">
        <v>106</v>
      </c>
      <c r="D18" s="38" t="s">
        <v>8</v>
      </c>
      <c r="E18" s="102" t="s">
        <v>247</v>
      </c>
      <c r="F18" s="58" t="s">
        <v>125</v>
      </c>
      <c r="G18" s="58" t="s">
        <v>98</v>
      </c>
      <c r="H18" s="58" t="s">
        <v>248</v>
      </c>
      <c r="I18" s="146"/>
      <c r="J18" s="103">
        <v>45959</v>
      </c>
      <c r="K18" s="103">
        <v>45964</v>
      </c>
      <c r="L18" s="103">
        <v>45965</v>
      </c>
      <c r="M18" s="103"/>
      <c r="N18" s="105"/>
      <c r="O18" s="101">
        <v>-86777.27</v>
      </c>
      <c r="P18" s="101"/>
      <c r="Q18" s="101"/>
      <c r="R18" s="101"/>
      <c r="S18" s="72"/>
      <c r="T18" s="72"/>
      <c r="U18" s="72"/>
      <c r="V18" s="72"/>
      <c r="W18" s="187"/>
      <c r="X18" s="166">
        <f>SUM(Table_Query_from_MS_Access_Database8[[#This Row],[HURF EX]:[STP other]])</f>
        <v>-86777.27</v>
      </c>
      <c r="Y18" s="166">
        <f ca="1">IF(ISTEXT(INDIRECT(ADDRESS(ROW()-1,COLUMN()))), INDIRECT(ADDRESS(12,COLUMN())),INDIRECT(ADDRESS(ROW()-1,COLUMN())))-Table_Query_from_MS_Access_Database8[[#This Row],[TOTAL OF AMOUNT]]</f>
        <v>2509542.88</v>
      </c>
    </row>
    <row r="19" spans="1:25" s="38" customFormat="1" ht="13.5" customHeight="1">
      <c r="A19" s="38" t="s">
        <v>252</v>
      </c>
      <c r="C19" s="38" t="s">
        <v>253</v>
      </c>
      <c r="D19" s="38" t="s">
        <v>7</v>
      </c>
      <c r="E19" s="102" t="s">
        <v>254</v>
      </c>
      <c r="F19" s="58" t="s">
        <v>125</v>
      </c>
      <c r="G19" s="58" t="s">
        <v>251</v>
      </c>
      <c r="H19" s="58" t="s">
        <v>213</v>
      </c>
      <c r="I19" s="146"/>
      <c r="J19" s="103">
        <v>45959</v>
      </c>
      <c r="K19" s="103">
        <v>45965</v>
      </c>
      <c r="L19" s="103">
        <v>45971</v>
      </c>
      <c r="M19" s="103"/>
      <c r="N19" s="105"/>
      <c r="O19" s="101"/>
      <c r="P19" s="101"/>
      <c r="Q19" s="101"/>
      <c r="R19" s="101">
        <v>42746.47</v>
      </c>
      <c r="S19" s="72"/>
      <c r="T19" s="72"/>
      <c r="U19" s="72">
        <v>30058.12</v>
      </c>
      <c r="V19" s="72"/>
      <c r="W19" s="187"/>
      <c r="X19" s="166">
        <f>SUM(Table_Query_from_MS_Access_Database8[[#This Row],[HURF EX]:[STP other]])</f>
        <v>72804.59</v>
      </c>
      <c r="Y19" s="166">
        <f ca="1">IF(ISTEXT(INDIRECT(ADDRESS(ROW()-1,COLUMN()))), INDIRECT(ADDRESS(12,COLUMN())),INDIRECT(ADDRESS(ROW()-1,COLUMN())))-Table_Query_from_MS_Access_Database8[[#This Row],[TOTAL OF AMOUNT]]</f>
        <v>2436738.29</v>
      </c>
    </row>
    <row r="20" spans="1:25" s="38" customFormat="1" ht="13.5" customHeight="1">
      <c r="A20" s="38" t="s">
        <v>214</v>
      </c>
      <c r="B20" s="38" t="s">
        <v>196</v>
      </c>
      <c r="C20" s="38" t="s">
        <v>106</v>
      </c>
      <c r="D20" s="38" t="s">
        <v>8</v>
      </c>
      <c r="E20" s="102" t="s">
        <v>215</v>
      </c>
      <c r="F20" s="58" t="s">
        <v>125</v>
      </c>
      <c r="G20" s="58" t="s">
        <v>98</v>
      </c>
      <c r="H20" s="58" t="s">
        <v>213</v>
      </c>
      <c r="I20" s="146"/>
      <c r="J20" s="103">
        <v>45959</v>
      </c>
      <c r="K20" s="103">
        <v>45964</v>
      </c>
      <c r="L20" s="103">
        <v>45971</v>
      </c>
      <c r="M20" s="103"/>
      <c r="N20" s="105"/>
      <c r="O20" s="101">
        <v>86777.27</v>
      </c>
      <c r="P20" s="101"/>
      <c r="Q20" s="101"/>
      <c r="R20" s="101"/>
      <c r="S20" s="72"/>
      <c r="T20" s="72"/>
      <c r="U20" s="72"/>
      <c r="V20" s="72"/>
      <c r="W20" s="187"/>
      <c r="X20" s="166">
        <f>SUM(Table_Query_from_MS_Access_Database8[[#This Row],[HURF EX]:[STP other]])</f>
        <v>86777.27</v>
      </c>
      <c r="Y20" s="166">
        <f ca="1">IF(ISTEXT(INDIRECT(ADDRESS(ROW()-1,COLUMN()))), INDIRECT(ADDRESS(12,COLUMN())),INDIRECT(ADDRESS(ROW()-1,COLUMN())))-Table_Query_from_MS_Access_Database8[[#This Row],[TOTAL OF AMOUNT]]</f>
        <v>2349961.02</v>
      </c>
    </row>
    <row r="21" spans="1:25" s="38" customFormat="1" ht="13.5" customHeight="1">
      <c r="A21" s="38" t="s">
        <v>249</v>
      </c>
      <c r="B21" s="38" t="s">
        <v>195</v>
      </c>
      <c r="C21" s="38" t="s">
        <v>106</v>
      </c>
      <c r="D21" s="38" t="s">
        <v>8</v>
      </c>
      <c r="E21" s="102" t="s">
        <v>250</v>
      </c>
      <c r="F21" s="58" t="s">
        <v>125</v>
      </c>
      <c r="G21" s="58" t="s">
        <v>251</v>
      </c>
      <c r="H21" s="58" t="s">
        <v>248</v>
      </c>
      <c r="I21" s="146">
        <v>45959</v>
      </c>
      <c r="J21" s="103"/>
      <c r="K21" s="103">
        <v>45965</v>
      </c>
      <c r="L21" s="103">
        <v>45971</v>
      </c>
      <c r="M21" s="103"/>
      <c r="N21" s="105"/>
      <c r="O21" s="101"/>
      <c r="P21" s="101"/>
      <c r="Q21" s="101"/>
      <c r="R21" s="101">
        <v>-42746.47</v>
      </c>
      <c r="S21" s="72"/>
      <c r="T21" s="72"/>
      <c r="U21" s="72">
        <v>-30058.12</v>
      </c>
      <c r="V21" s="72"/>
      <c r="W21" s="187"/>
      <c r="X21" s="166">
        <f>SUM(Table_Query_from_MS_Access_Database8[[#This Row],[HURF EX]:[STP other]])</f>
        <v>-72804.59</v>
      </c>
      <c r="Y21" s="166">
        <f ca="1">IF(ISTEXT(INDIRECT(ADDRESS(ROW()-1,COLUMN()))), INDIRECT(ADDRESS(12,COLUMN())),INDIRECT(ADDRESS(ROW()-1,COLUMN())))-Table_Query_from_MS_Access_Database8[[#This Row],[TOTAL OF AMOUNT]]</f>
        <v>2422765.61</v>
      </c>
    </row>
    <row r="22" spans="1:25" s="38" customFormat="1" ht="13.5" customHeight="1">
      <c r="A22" s="38" t="s">
        <v>256</v>
      </c>
      <c r="C22" s="38" t="s">
        <v>106</v>
      </c>
      <c r="D22" s="38" t="s">
        <v>7</v>
      </c>
      <c r="E22" s="102" t="s">
        <v>257</v>
      </c>
      <c r="F22" s="58" t="s">
        <v>125</v>
      </c>
      <c r="G22" s="58" t="s">
        <v>258</v>
      </c>
      <c r="H22" s="58" t="s">
        <v>213</v>
      </c>
      <c r="I22" s="146"/>
      <c r="J22" s="103">
        <v>45989</v>
      </c>
      <c r="K22" s="103">
        <v>45993</v>
      </c>
      <c r="L22" s="103">
        <v>45994</v>
      </c>
      <c r="M22" s="103"/>
      <c r="N22" s="105"/>
      <c r="O22" s="101"/>
      <c r="P22" s="101"/>
      <c r="Q22" s="101"/>
      <c r="R22" s="101"/>
      <c r="S22" s="72"/>
      <c r="T22" s="72"/>
      <c r="U22" s="72"/>
      <c r="V22" s="72">
        <v>23825</v>
      </c>
      <c r="W22" s="187"/>
      <c r="X22" s="166">
        <f>SUM(Table_Query_from_MS_Access_Database8[[#This Row],[HURF EX]:[STP other]])</f>
        <v>23825</v>
      </c>
      <c r="Y22" s="166">
        <f ca="1">IF(ISTEXT(INDIRECT(ADDRESS(ROW()-1,COLUMN()))), INDIRECT(ADDRESS(12,COLUMN())),INDIRECT(ADDRESS(ROW()-1,COLUMN())))-Table_Query_from_MS_Access_Database8[[#This Row],[TOTAL OF AMOUNT]]</f>
        <v>2398940.61</v>
      </c>
    </row>
    <row r="23" spans="1:25" s="38" customFormat="1" ht="13.5" customHeight="1">
      <c r="A23" s="38" t="s">
        <v>211</v>
      </c>
      <c r="B23" s="38" t="s">
        <v>196</v>
      </c>
      <c r="C23" s="38" t="s">
        <v>106</v>
      </c>
      <c r="D23" s="38" t="s">
        <v>8</v>
      </c>
      <c r="E23" s="102" t="s">
        <v>212</v>
      </c>
      <c r="F23" s="58" t="s">
        <v>125</v>
      </c>
      <c r="G23" s="58" t="s">
        <v>97</v>
      </c>
      <c r="H23" s="58" t="s">
        <v>213</v>
      </c>
      <c r="I23" s="146"/>
      <c r="J23" s="103">
        <v>46001</v>
      </c>
      <c r="K23" s="103">
        <v>46006</v>
      </c>
      <c r="L23" s="103">
        <v>46007</v>
      </c>
      <c r="M23" s="103"/>
      <c r="N23" s="105"/>
      <c r="O23" s="101"/>
      <c r="P23" s="101"/>
      <c r="Q23" s="101">
        <v>404043.5</v>
      </c>
      <c r="R23" s="101"/>
      <c r="S23" s="72"/>
      <c r="T23" s="72"/>
      <c r="U23" s="72"/>
      <c r="V23" s="72"/>
      <c r="W23" s="187"/>
      <c r="X23" s="166">
        <f>SUM(Table_Query_from_MS_Access_Database8[[#This Row],[HURF EX]:[STP other]])</f>
        <v>404043.5</v>
      </c>
      <c r="Y23" s="166">
        <f ca="1">IF(ISTEXT(INDIRECT(ADDRESS(ROW()-1,COLUMN()))), INDIRECT(ADDRESS(12,COLUMN())),INDIRECT(ADDRESS(ROW()-1,COLUMN())))-Table_Query_from_MS_Access_Database8[[#This Row],[TOTAL OF AMOUNT]]</f>
        <v>1994897.1099999999</v>
      </c>
    </row>
    <row r="24" spans="1:25" s="38" customFormat="1" ht="13.5" customHeight="1">
      <c r="A24" s="38" t="s">
        <v>259</v>
      </c>
      <c r="B24" s="38" t="s">
        <v>195</v>
      </c>
      <c r="C24" s="38" t="s">
        <v>106</v>
      </c>
      <c r="D24" s="38" t="s">
        <v>8</v>
      </c>
      <c r="E24" s="102" t="s">
        <v>260</v>
      </c>
      <c r="F24" s="58" t="s">
        <v>125</v>
      </c>
      <c r="G24" s="58" t="s">
        <v>97</v>
      </c>
      <c r="H24" s="58" t="s">
        <v>248</v>
      </c>
      <c r="I24" s="146"/>
      <c r="J24" s="103">
        <v>46001</v>
      </c>
      <c r="K24" s="103">
        <v>46006</v>
      </c>
      <c r="L24" s="103">
        <v>46007</v>
      </c>
      <c r="M24" s="103"/>
      <c r="N24" s="105"/>
      <c r="O24" s="101"/>
      <c r="P24" s="101"/>
      <c r="Q24" s="101">
        <v>-404043.5</v>
      </c>
      <c r="R24" s="101"/>
      <c r="S24" s="72"/>
      <c r="T24" s="72"/>
      <c r="U24" s="72"/>
      <c r="V24" s="72"/>
      <c r="W24" s="187"/>
      <c r="X24" s="166">
        <f>SUM(Table_Query_from_MS_Access_Database8[[#This Row],[HURF EX]:[STP other]])</f>
        <v>-404043.5</v>
      </c>
      <c r="Y24" s="166">
        <f ca="1">IF(ISTEXT(INDIRECT(ADDRESS(ROW()-1,COLUMN()))), INDIRECT(ADDRESS(12,COLUMN())),INDIRECT(ADDRESS(ROW()-1,COLUMN())))-Table_Query_from_MS_Access_Database8[[#This Row],[TOTAL OF AMOUNT]]</f>
        <v>2398940.61</v>
      </c>
    </row>
    <row r="25" spans="1:25" s="38" customFormat="1" ht="12">
      <c r="E25" s="36"/>
      <c r="F25" s="36"/>
      <c r="G25" s="36"/>
      <c r="H25" s="36"/>
      <c r="I25" s="36"/>
      <c r="J25" s="36"/>
      <c r="K25" s="36"/>
      <c r="L25" s="182" t="s">
        <v>72</v>
      </c>
      <c r="M25" s="73">
        <f>SUM(Table_Query_from_MS_Access_Database8[[#All],[HURF EX]])</f>
        <v>0</v>
      </c>
      <c r="N25" s="73">
        <f>SUM(Table_Query_from_MS_Access_Database8[[#All],[HSIP]])</f>
        <v>0</v>
      </c>
      <c r="O25" s="73">
        <f>SUM(Table_Query_from_MS_Access_Database8[[#All],[PL]])</f>
        <v>118520.89</v>
      </c>
      <c r="P25" s="73">
        <f>SUM(Table_Query_from_MS_Access_Database8[[#All],[PL-SATO]])</f>
        <v>0</v>
      </c>
      <c r="Q25" s="73">
        <f>SUM(Table_Query_from_MS_Access_Database8[[#All],[SPR]])</f>
        <v>82747.75</v>
      </c>
      <c r="R25" s="73">
        <f>SUM(Table_Query_from_MS_Access_Database8[[#All],[STP &lt;5]])</f>
        <v>0</v>
      </c>
      <c r="S25" s="73">
        <f>SUM(Table_Query_from_MS_Access_Database8[[#All],[STP 5-200]])</f>
        <v>0</v>
      </c>
      <c r="T25" s="73">
        <f>SUM(Table_Query_from_MS_Access_Database8[[#All],[STP 5-50]])</f>
        <v>0</v>
      </c>
      <c r="U25" s="73">
        <f>SUM(Table_Query_from_MS_Access_Database8[[#All],[STP 50-200]])</f>
        <v>0</v>
      </c>
      <c r="V25" s="73">
        <f>SUM(Table_Query_from_MS_Access_Database8[[#All],[CRP 50-200]])</f>
        <v>23825</v>
      </c>
      <c r="W25" s="73">
        <f>SUM(Table_Query_from_MS_Access_Database8[[#All],[STP other]])</f>
        <v>0</v>
      </c>
      <c r="X25" s="73">
        <f>SUM(Table_Query_from_MS_Access_Database8[[#All],[TOTAL OF AMOUNT]])</f>
        <v>225093.64</v>
      </c>
    </row>
    <row r="26" spans="1:25" s="38" customFormat="1" ht="24">
      <c r="A26" s="67"/>
      <c r="B26" s="67"/>
      <c r="C26" s="67"/>
      <c r="D26" s="67"/>
      <c r="E26" s="36"/>
      <c r="F26" s="36"/>
      <c r="G26" s="36"/>
      <c r="H26" s="36"/>
      <c r="I26" s="36"/>
      <c r="J26" s="36"/>
      <c r="K26" s="36"/>
      <c r="L26" s="182" t="s">
        <v>71</v>
      </c>
      <c r="M26" s="73">
        <f>+M12-M25</f>
        <v>0</v>
      </c>
      <c r="N26" s="73">
        <f t="shared" ref="N26:W26" si="3">+N12-N25</f>
        <v>0</v>
      </c>
      <c r="O26" s="73">
        <f t="shared" si="3"/>
        <v>44417.11</v>
      </c>
      <c r="P26" s="73">
        <f t="shared" si="3"/>
        <v>4178</v>
      </c>
      <c r="Q26" s="73">
        <f t="shared" si="3"/>
        <v>42252.25</v>
      </c>
      <c r="R26" s="73">
        <f t="shared" si="3"/>
        <v>8390</v>
      </c>
      <c r="S26" s="73">
        <f t="shared" si="3"/>
        <v>0</v>
      </c>
      <c r="T26" s="73">
        <f t="shared" si="3"/>
        <v>0</v>
      </c>
      <c r="U26" s="73">
        <f t="shared" si="3"/>
        <v>1771692.9</v>
      </c>
      <c r="V26" s="73">
        <f t="shared" si="3"/>
        <v>608655</v>
      </c>
      <c r="W26" s="73">
        <f t="shared" si="3"/>
        <v>0</v>
      </c>
      <c r="X26" s="73">
        <f>+X12-X25</f>
        <v>2479585.2599999998</v>
      </c>
    </row>
    <row r="27" spans="1:25" s="38" customFormat="1" ht="13.2">
      <c r="A27" s="40"/>
      <c r="B27" s="40"/>
      <c r="C27" s="40"/>
      <c r="D27" s="40"/>
      <c r="E27" s="37"/>
      <c r="F27" s="37"/>
      <c r="G27" s="37"/>
      <c r="H27" s="37"/>
      <c r="I27" s="37"/>
      <c r="J27" s="37"/>
      <c r="K27" s="37"/>
      <c r="L27" s="37"/>
      <c r="M27" s="40"/>
      <c r="N27" s="40"/>
      <c r="O27" s="40"/>
      <c r="P27" s="40"/>
      <c r="Q27" s="40"/>
      <c r="R27" s="40"/>
      <c r="S27" s="30"/>
    </row>
    <row r="28" spans="1:25" s="38" customFormat="1" ht="15.6">
      <c r="A28" s="205" t="s">
        <v>34</v>
      </c>
      <c r="B28" s="205"/>
      <c r="C28" s="205"/>
      <c r="D28" s="205"/>
      <c r="E28" s="39"/>
      <c r="F28" s="39"/>
      <c r="G28" s="40"/>
      <c r="H28" s="40"/>
      <c r="I28" s="40"/>
      <c r="J28" s="42"/>
      <c r="K28" s="41"/>
      <c r="L28" s="41"/>
      <c r="M28" s="41"/>
      <c r="N28" s="41"/>
      <c r="O28" s="30"/>
      <c r="P28" s="30"/>
      <c r="Q28" s="37"/>
      <c r="R28" s="37"/>
      <c r="S28" s="30"/>
      <c r="V28" s="43"/>
      <c r="X28" s="43"/>
    </row>
    <row r="29" spans="1:25" s="38" customFormat="1" ht="27" customHeight="1">
      <c r="A29" s="59" t="s">
        <v>1</v>
      </c>
      <c r="B29" s="59" t="s">
        <v>0</v>
      </c>
      <c r="C29" s="59" t="s">
        <v>3</v>
      </c>
      <c r="D29" s="59" t="s">
        <v>79</v>
      </c>
      <c r="E29" s="59" t="s">
        <v>2</v>
      </c>
      <c r="F29" s="59" t="s">
        <v>45</v>
      </c>
      <c r="G29" s="59" t="s">
        <v>46</v>
      </c>
      <c r="H29" s="59" t="s">
        <v>47</v>
      </c>
      <c r="I29" s="59" t="s">
        <v>48</v>
      </c>
      <c r="J29" s="59" t="s">
        <v>49</v>
      </c>
      <c r="K29" s="59" t="s">
        <v>50</v>
      </c>
      <c r="L29" s="59" t="s">
        <v>51</v>
      </c>
      <c r="M29" s="59" t="s">
        <v>133</v>
      </c>
      <c r="N29" s="59" t="s">
        <v>4</v>
      </c>
      <c r="O29" s="59" t="s">
        <v>41</v>
      </c>
      <c r="P29" s="59" t="s">
        <v>188</v>
      </c>
      <c r="Q29" s="59" t="s">
        <v>5</v>
      </c>
      <c r="R29" s="59" t="s">
        <v>96</v>
      </c>
      <c r="S29" s="59" t="s">
        <v>130</v>
      </c>
      <c r="T29" s="59" t="s">
        <v>181</v>
      </c>
      <c r="U29" s="59" t="s">
        <v>182</v>
      </c>
      <c r="V29" s="59" t="s">
        <v>183</v>
      </c>
      <c r="W29" s="140" t="s">
        <v>52</v>
      </c>
      <c r="X29" s="167" t="s">
        <v>190</v>
      </c>
      <c r="Y29" s="152" t="s">
        <v>191</v>
      </c>
    </row>
    <row r="30" spans="1:25" s="38" customFormat="1" ht="40.5" customHeight="1">
      <c r="A30" s="38" t="s">
        <v>261</v>
      </c>
      <c r="B30" s="38" t="s">
        <v>262</v>
      </c>
      <c r="C30" s="38" t="s">
        <v>227</v>
      </c>
      <c r="D30" s="38" t="s">
        <v>7</v>
      </c>
      <c r="E30" s="58" t="s">
        <v>228</v>
      </c>
      <c r="F30" s="97" t="s">
        <v>125</v>
      </c>
      <c r="G30" s="98" t="s">
        <v>226</v>
      </c>
      <c r="H30" s="98" t="s">
        <v>226</v>
      </c>
      <c r="I30" s="164">
        <v>46143</v>
      </c>
      <c r="J30" s="164"/>
      <c r="K30" s="164"/>
      <c r="L30" s="164"/>
      <c r="M30" s="188">
        <v>727236</v>
      </c>
      <c r="N30" s="105"/>
      <c r="O30" s="101"/>
      <c r="P30" s="101"/>
      <c r="Q30" s="101"/>
      <c r="R30" s="101"/>
      <c r="S30" s="72"/>
      <c r="T30" s="72"/>
      <c r="U30" s="72">
        <v>80803.98</v>
      </c>
      <c r="V30" s="72"/>
      <c r="W30" s="139"/>
      <c r="X30" s="43">
        <f>SUM(Table_Query_from_MS_Access_Database_1[[#This Row],[HURF EX]:[CRP 50-200]])</f>
        <v>808039.98</v>
      </c>
      <c r="Y30" s="43">
        <f ca="1">IF(ISTEXT(INDIRECT(ADDRESS(ROW()-1,COLUMN()))), INDIRECT(ADDRESS(12,COLUMN()))-SUM(Table_Query_from_MS_Access_Database8[TOTAL OF AMOUNT]),INDIRECT(ADDRESS(ROW()-1,COLUMN())))-Table_Query_from_MS_Access_Database_1[[#This Row],[TOTAL OF AMOUNT]]</f>
        <v>1590900.63</v>
      </c>
    </row>
    <row r="31" spans="1:25" s="38" customFormat="1" ht="13.2" customHeight="1">
      <c r="A31" s="38" t="s">
        <v>263</v>
      </c>
      <c r="B31" s="38" t="s">
        <v>264</v>
      </c>
      <c r="C31" s="38" t="s">
        <v>227</v>
      </c>
      <c r="D31" s="38" t="s">
        <v>7</v>
      </c>
      <c r="E31" s="58" t="s">
        <v>228</v>
      </c>
      <c r="F31" s="97" t="s">
        <v>125</v>
      </c>
      <c r="G31" s="98" t="s">
        <v>226</v>
      </c>
      <c r="H31" s="98" t="s">
        <v>226</v>
      </c>
      <c r="I31" s="164">
        <v>46023</v>
      </c>
      <c r="J31" s="164"/>
      <c r="K31" s="164"/>
      <c r="L31" s="164"/>
      <c r="M31" s="188">
        <v>95000</v>
      </c>
      <c r="N31" s="105"/>
      <c r="O31" s="101"/>
      <c r="P31" s="101"/>
      <c r="Q31" s="101"/>
      <c r="R31" s="101"/>
      <c r="S31" s="72"/>
      <c r="T31" s="72"/>
      <c r="U31" s="72">
        <v>10555.56</v>
      </c>
      <c r="V31" s="72"/>
      <c r="W31" s="43"/>
      <c r="X31" s="43">
        <f>SUM(Table_Query_from_MS_Access_Database_1[[#This Row],[HURF EX]:[CRP 50-200]])</f>
        <v>105555.56</v>
      </c>
      <c r="Y31" s="43">
        <f ca="1">IF(ISTEXT(INDIRECT(ADDRESS(ROW()-1,COLUMN()))), INDIRECT(ADDRESS(12,COLUMN()))-SUM(Table_Query_from_MS_Access_Database8[TOTAL OF AMOUNT]),INDIRECT(ADDRESS(ROW()-1,COLUMN())))-Table_Query_from_MS_Access_Database_1[[#This Row],[TOTAL OF AMOUNT]]</f>
        <v>1485345.0699999998</v>
      </c>
    </row>
    <row r="32" spans="1:25" ht="34.200000000000003">
      <c r="A32" s="43" t="s">
        <v>265</v>
      </c>
      <c r="B32" s="43" t="s">
        <v>265</v>
      </c>
      <c r="C32" s="43" t="s">
        <v>227</v>
      </c>
      <c r="D32" s="43" t="s">
        <v>7</v>
      </c>
      <c r="E32" s="58" t="s">
        <v>266</v>
      </c>
      <c r="F32" s="189" t="s">
        <v>125</v>
      </c>
      <c r="G32" s="98" t="s">
        <v>226</v>
      </c>
      <c r="H32" s="98" t="s">
        <v>226</v>
      </c>
      <c r="I32" s="164">
        <v>46143</v>
      </c>
      <c r="J32" s="164"/>
      <c r="K32" s="164"/>
      <c r="L32" s="164"/>
      <c r="M32" s="188">
        <v>203692</v>
      </c>
      <c r="N32" s="105"/>
      <c r="O32" s="101"/>
      <c r="P32" s="101"/>
      <c r="Q32" s="101"/>
      <c r="R32" s="101"/>
      <c r="S32" s="72"/>
      <c r="T32" s="72"/>
      <c r="U32" s="72">
        <v>22632.400000000001</v>
      </c>
      <c r="V32" s="72"/>
      <c r="W32" s="43"/>
      <c r="X32" s="43">
        <f>SUM(Table_Query_from_MS_Access_Database_1[[#This Row],[HURF EX]:[CRP 50-200]])</f>
        <v>226324.4</v>
      </c>
      <c r="Y32" s="43">
        <f ca="1">IF(ISTEXT(INDIRECT(ADDRESS(ROW()-1,COLUMN()))), INDIRECT(ADDRESS(12,COLUMN()))-SUM(Table_Query_from_MS_Access_Database8[TOTAL OF AMOUNT]),INDIRECT(ADDRESS(ROW()-1,COLUMN())))-Table_Query_from_MS_Access_Database_1[[#This Row],[TOTAL OF AMOUNT]]</f>
        <v>1259020.67</v>
      </c>
    </row>
    <row r="33" spans="1:27" s="38" customFormat="1" ht="12.75" customHeight="1">
      <c r="A33" s="38" t="s">
        <v>211</v>
      </c>
      <c r="B33" s="38" t="s">
        <v>196</v>
      </c>
      <c r="C33" s="38" t="s">
        <v>106</v>
      </c>
      <c r="D33" s="38" t="s">
        <v>22</v>
      </c>
      <c r="E33" s="58" t="s">
        <v>212</v>
      </c>
      <c r="F33" s="97" t="s">
        <v>125</v>
      </c>
      <c r="G33" s="98" t="s">
        <v>97</v>
      </c>
      <c r="H33" s="98" t="s">
        <v>213</v>
      </c>
      <c r="I33" s="164">
        <v>46174</v>
      </c>
      <c r="J33" s="164"/>
      <c r="K33" s="164"/>
      <c r="L33" s="164"/>
      <c r="M33" s="188"/>
      <c r="N33" s="105"/>
      <c r="O33" s="101"/>
      <c r="P33" s="101"/>
      <c r="Q33" s="101">
        <v>27567.25</v>
      </c>
      <c r="R33" s="101"/>
      <c r="S33" s="72"/>
      <c r="T33" s="72"/>
      <c r="U33" s="72"/>
      <c r="V33" s="72"/>
      <c r="W33" s="43"/>
      <c r="X33" s="43">
        <f>SUM(Table_Query_from_MS_Access_Database_1[[#This Row],[HURF EX]:[CRP 50-200]])</f>
        <v>27567.25</v>
      </c>
      <c r="Y33" s="43">
        <f ca="1">IF(ISTEXT(INDIRECT(ADDRESS(ROW()-1,COLUMN()))), INDIRECT(ADDRESS(12,COLUMN()))-SUM(Table_Query_from_MS_Access_Database8[TOTAL OF AMOUNT]),INDIRECT(ADDRESS(ROW()-1,COLUMN())))-Table_Query_from_MS_Access_Database_1[[#This Row],[TOTAL OF AMOUNT]]</f>
        <v>1231453.42</v>
      </c>
    </row>
    <row r="34" spans="1:27" ht="28.5" customHeight="1">
      <c r="A34" s="43" t="s">
        <v>214</v>
      </c>
      <c r="B34" s="43" t="s">
        <v>196</v>
      </c>
      <c r="C34" s="43" t="s">
        <v>106</v>
      </c>
      <c r="D34" s="43" t="s">
        <v>22</v>
      </c>
      <c r="E34" s="58" t="s">
        <v>215</v>
      </c>
      <c r="F34" s="189" t="s">
        <v>125</v>
      </c>
      <c r="G34" s="98" t="s">
        <v>98</v>
      </c>
      <c r="H34" s="98" t="s">
        <v>213</v>
      </c>
      <c r="I34" s="164">
        <v>46174</v>
      </c>
      <c r="J34" s="164"/>
      <c r="K34" s="164"/>
      <c r="L34" s="164"/>
      <c r="M34" s="188"/>
      <c r="N34" s="105"/>
      <c r="O34" s="101">
        <v>41549.160000000003</v>
      </c>
      <c r="P34" s="101"/>
      <c r="Q34" s="101"/>
      <c r="R34" s="101"/>
      <c r="S34" s="72"/>
      <c r="T34" s="72"/>
      <c r="U34" s="72"/>
      <c r="V34" s="72"/>
      <c r="W34" s="43"/>
      <c r="X34" s="43">
        <f>SUM(Table_Query_from_MS_Access_Database_1[[#This Row],[HURF EX]:[CRP 50-200]])</f>
        <v>41549.160000000003</v>
      </c>
      <c r="Y34" s="43">
        <f ca="1">IF(ISTEXT(INDIRECT(ADDRESS(ROW()-1,COLUMN()))), INDIRECT(ADDRESS(12,COLUMN()))-SUM(Table_Query_from_MS_Access_Database8[TOTAL OF AMOUNT]),INDIRECT(ADDRESS(ROW()-1,COLUMN())))-Table_Query_from_MS_Access_Database_1[[#This Row],[TOTAL OF AMOUNT]]</f>
        <v>1189904.26</v>
      </c>
    </row>
    <row r="35" spans="1:27" s="38" customFormat="1" ht="13.2" customHeight="1">
      <c r="A35" s="38" t="s">
        <v>216</v>
      </c>
      <c r="B35" s="38" t="s">
        <v>195</v>
      </c>
      <c r="C35" s="38" t="s">
        <v>106</v>
      </c>
      <c r="D35" s="38" t="s">
        <v>22</v>
      </c>
      <c r="E35" s="58" t="s">
        <v>217</v>
      </c>
      <c r="F35" s="97" t="s">
        <v>125</v>
      </c>
      <c r="G35" s="98" t="s">
        <v>98</v>
      </c>
      <c r="H35" s="98" t="s">
        <v>213</v>
      </c>
      <c r="I35" s="164">
        <v>46174</v>
      </c>
      <c r="J35" s="164"/>
      <c r="K35" s="164"/>
      <c r="L35" s="164"/>
      <c r="M35" s="188"/>
      <c r="N35" s="105"/>
      <c r="O35" s="101"/>
      <c r="P35" s="101">
        <v>4261.45</v>
      </c>
      <c r="Q35" s="101"/>
      <c r="R35" s="101"/>
      <c r="S35" s="72"/>
      <c r="T35" s="72"/>
      <c r="U35" s="72"/>
      <c r="V35" s="72"/>
      <c r="W35" s="43"/>
      <c r="X35" s="43">
        <f>SUM(Table_Query_from_MS_Access_Database_1[[#This Row],[HURF EX]:[CRP 50-200]])</f>
        <v>4261.45</v>
      </c>
      <c r="Y35" s="43">
        <f ca="1">IF(ISTEXT(INDIRECT(ADDRESS(ROW()-1,COLUMN()))), INDIRECT(ADDRESS(12,COLUMN()))-SUM(Table_Query_from_MS_Access_Database8[TOTAL OF AMOUNT]),INDIRECT(ADDRESS(ROW()-1,COLUMN())))-Table_Query_from_MS_Access_Database_1[[#This Row],[TOTAL OF AMOUNT]]</f>
        <v>1185642.81</v>
      </c>
    </row>
    <row r="36" spans="1:27" s="38" customFormat="1" ht="13.2" customHeight="1">
      <c r="A36" s="38" t="s">
        <v>229</v>
      </c>
      <c r="B36" s="38" t="s">
        <v>230</v>
      </c>
      <c r="C36" s="38" t="s">
        <v>227</v>
      </c>
      <c r="D36" s="38" t="s">
        <v>7</v>
      </c>
      <c r="E36" s="58" t="s">
        <v>231</v>
      </c>
      <c r="F36" s="97" t="s">
        <v>125</v>
      </c>
      <c r="G36" s="98" t="s">
        <v>226</v>
      </c>
      <c r="H36" s="98" t="s">
        <v>226</v>
      </c>
      <c r="I36" s="164">
        <v>46016</v>
      </c>
      <c r="J36" s="164"/>
      <c r="K36" s="164"/>
      <c r="L36" s="164"/>
      <c r="M36" s="188"/>
      <c r="N36" s="105"/>
      <c r="O36" s="101"/>
      <c r="P36" s="101"/>
      <c r="Q36" s="101"/>
      <c r="R36" s="101"/>
      <c r="S36" s="72"/>
      <c r="T36" s="72"/>
      <c r="U36" s="72"/>
      <c r="V36" s="72">
        <v>456106</v>
      </c>
      <c r="W36" s="43"/>
      <c r="X36" s="43">
        <f>SUM(Table_Query_from_MS_Access_Database_1[[#This Row],[HURF EX]:[CRP 50-200]])</f>
        <v>456106</v>
      </c>
      <c r="Y36" s="43">
        <f ca="1">IF(ISTEXT(INDIRECT(ADDRESS(ROW()-1,COLUMN()))), INDIRECT(ADDRESS(12,COLUMN()))-SUM(Table_Query_from_MS_Access_Database8[TOTAL OF AMOUNT]),INDIRECT(ADDRESS(ROW()-1,COLUMN())))-Table_Query_from_MS_Access_Database_1[[#This Row],[TOTAL OF AMOUNT]]</f>
        <v>729536.81</v>
      </c>
    </row>
    <row r="37" spans="1:27" s="38" customFormat="1" ht="13.2" hidden="1" customHeight="1">
      <c r="E37" s="58"/>
      <c r="F37" s="97"/>
      <c r="G37" s="98"/>
      <c r="H37" s="98"/>
      <c r="I37" s="164"/>
      <c r="J37" s="164"/>
      <c r="K37" s="164"/>
      <c r="L37" s="164"/>
      <c r="M37" s="188"/>
      <c r="N37" s="105"/>
      <c r="O37" s="101"/>
      <c r="P37" s="101"/>
      <c r="Q37" s="101"/>
      <c r="R37" s="101"/>
      <c r="S37" s="72"/>
      <c r="T37" s="72"/>
      <c r="U37" s="72"/>
      <c r="V37" s="72"/>
      <c r="W37" s="43"/>
      <c r="X37" s="43"/>
      <c r="Y37" s="43"/>
      <c r="AA37" s="38" t="e">
        <f>Table_Query_from_MS_Access_Database_1[[#This Row],[DECLINING BALANCE OA]]-27000</f>
        <v>#VALUE!</v>
      </c>
    </row>
    <row r="38" spans="1:27" ht="16.5" hidden="1" customHeight="1">
      <c r="A38" s="43"/>
      <c r="B38" s="43"/>
      <c r="C38" s="43"/>
      <c r="D38" s="43"/>
      <c r="E38" s="58"/>
      <c r="F38" s="189"/>
      <c r="G38" s="98"/>
      <c r="H38" s="98"/>
      <c r="I38" s="164"/>
      <c r="J38" s="164"/>
      <c r="K38" s="164"/>
      <c r="L38" s="164"/>
      <c r="M38" s="188"/>
      <c r="N38" s="105"/>
      <c r="O38" s="101"/>
      <c r="P38" s="101"/>
      <c r="Q38" s="101"/>
      <c r="R38" s="101"/>
      <c r="S38" s="72"/>
      <c r="T38" s="72"/>
      <c r="U38" s="72"/>
      <c r="V38" s="72"/>
      <c r="W38" s="43"/>
      <c r="X38" s="43"/>
      <c r="Y38" s="43"/>
    </row>
    <row r="39" spans="1:27">
      <c r="A39" s="43"/>
      <c r="B39" s="43"/>
      <c r="C39" s="43"/>
      <c r="D39" s="43"/>
      <c r="E39" s="58"/>
      <c r="F39" s="189"/>
      <c r="G39" s="98"/>
      <c r="H39" s="98"/>
      <c r="I39" s="164"/>
      <c r="J39" s="164"/>
      <c r="K39" s="164"/>
      <c r="L39" s="182" t="s">
        <v>72</v>
      </c>
      <c r="M39" s="190">
        <f>SUM(Table_Query_from_MS_Access_Database_1[HURF EX])</f>
        <v>1025928</v>
      </c>
      <c r="N39" s="190">
        <f>SUM(Table_Query_from_MS_Access_Database_1[HSIP])</f>
        <v>0</v>
      </c>
      <c r="O39" s="190">
        <f>SUM(Table_Query_from_MS_Access_Database_1[PL])</f>
        <v>41549.160000000003</v>
      </c>
      <c r="P39" s="190">
        <f>SUM(Table_Query_from_MS_Access_Database_1[PL-SATO])</f>
        <v>4261.45</v>
      </c>
      <c r="Q39" s="190">
        <f>SUM(Table_Query_from_MS_Access_Database_1[SPR])</f>
        <v>27567.25</v>
      </c>
      <c r="R39" s="190">
        <f>SUM(Table_Query_from_MS_Access_Database_1[STP &lt;5])</f>
        <v>0</v>
      </c>
      <c r="S39" s="190">
        <f>SUM(Table_Query_from_MS_Access_Database_1[STP 5-200])</f>
        <v>0</v>
      </c>
      <c r="T39" s="190">
        <f>SUM(Table_Query_from_MS_Access_Database_1[STP 5-50])</f>
        <v>0</v>
      </c>
      <c r="U39" s="190">
        <f>SUM(Table_Query_from_MS_Access_Database_1[STP 50-200])</f>
        <v>113991.94</v>
      </c>
      <c r="V39" s="190">
        <f>SUM(Table_Query_from_MS_Access_Database_1[CRP 50-200])</f>
        <v>456106</v>
      </c>
      <c r="W39" s="190">
        <f>SUM(Table_Query_from_MS_Access_Database_1[STP OTHER])</f>
        <v>0</v>
      </c>
      <c r="X39" s="190">
        <f>SUM(Table_Query_from_MS_Access_Database_1[TOTAL OF AMOUNT])</f>
        <v>1669403.7999999998</v>
      </c>
      <c r="Y39" s="43"/>
    </row>
    <row r="40" spans="1:27" ht="24">
      <c r="A40" s="38"/>
      <c r="B40" s="38"/>
      <c r="C40" s="38"/>
      <c r="D40" s="38"/>
      <c r="E40" s="38"/>
      <c r="F40" s="38"/>
      <c r="G40" s="38"/>
      <c r="H40" s="38"/>
      <c r="I40" s="38"/>
      <c r="J40" s="43"/>
      <c r="K40" s="43"/>
      <c r="L40" s="168" t="s">
        <v>71</v>
      </c>
      <c r="M40" s="159">
        <f t="shared" ref="M40:N40" si="4">+M26-M39</f>
        <v>-1025928</v>
      </c>
      <c r="N40" s="159">
        <f t="shared" si="4"/>
        <v>0</v>
      </c>
      <c r="O40" s="159">
        <f>+O26-O39</f>
        <v>2867.9499999999971</v>
      </c>
      <c r="P40" s="159">
        <f t="shared" ref="P40:W40" si="5">+P26-P39</f>
        <v>-83.449999999999818</v>
      </c>
      <c r="Q40" s="159">
        <f t="shared" si="5"/>
        <v>14685</v>
      </c>
      <c r="R40" s="159">
        <f t="shared" si="5"/>
        <v>8390</v>
      </c>
      <c r="S40" s="159">
        <f t="shared" si="5"/>
        <v>0</v>
      </c>
      <c r="T40" s="159">
        <f t="shared" si="5"/>
        <v>0</v>
      </c>
      <c r="U40" s="159">
        <f t="shared" si="5"/>
        <v>1657700.96</v>
      </c>
      <c r="V40" s="159">
        <f t="shared" si="5"/>
        <v>152549</v>
      </c>
      <c r="W40" s="159">
        <f t="shared" si="5"/>
        <v>0</v>
      </c>
      <c r="X40" s="159">
        <f>+X26-X39</f>
        <v>810181.46</v>
      </c>
    </row>
    <row r="41" spans="1:27">
      <c r="J41" s="27"/>
      <c r="K41" s="27"/>
      <c r="L41" s="27"/>
      <c r="M41" s="43">
        <f>+M25+M39</f>
        <v>1025928</v>
      </c>
      <c r="N41" s="43">
        <f t="shared" ref="N41:X41" si="6">+N25+N39</f>
        <v>0</v>
      </c>
      <c r="O41" s="43">
        <f t="shared" si="6"/>
        <v>160070.04999999999</v>
      </c>
      <c r="P41" s="43">
        <f t="shared" si="6"/>
        <v>4261.45</v>
      </c>
      <c r="Q41" s="43">
        <f t="shared" si="6"/>
        <v>110315</v>
      </c>
      <c r="R41" s="43">
        <f t="shared" si="6"/>
        <v>0</v>
      </c>
      <c r="S41" s="43">
        <f t="shared" si="6"/>
        <v>0</v>
      </c>
      <c r="T41" s="43">
        <f t="shared" si="6"/>
        <v>0</v>
      </c>
      <c r="U41" s="43">
        <f t="shared" si="6"/>
        <v>113991.94</v>
      </c>
      <c r="V41" s="43">
        <f t="shared" si="6"/>
        <v>479931</v>
      </c>
      <c r="W41" s="43">
        <f t="shared" si="6"/>
        <v>0</v>
      </c>
      <c r="X41" s="43">
        <f t="shared" si="6"/>
        <v>1894497.44</v>
      </c>
    </row>
    <row r="42" spans="1:27" ht="33" customHeight="1">
      <c r="J42" s="27"/>
      <c r="K42" s="27"/>
      <c r="L42" s="27"/>
      <c r="M42" s="27"/>
      <c r="R42" s="24"/>
      <c r="S42" s="24"/>
      <c r="T42" s="43"/>
      <c r="U42" s="67"/>
      <c r="V42" s="38"/>
      <c r="Z42" s="27"/>
    </row>
    <row r="43" spans="1:27" ht="17.25" customHeight="1">
      <c r="A43" s="203" t="s">
        <v>73</v>
      </c>
      <c r="B43" s="203"/>
      <c r="C43" s="203"/>
      <c r="D43" s="203"/>
      <c r="J43" s="27"/>
      <c r="K43" s="27"/>
      <c r="L43" s="27"/>
      <c r="M43" s="204" t="s">
        <v>55</v>
      </c>
      <c r="N43" s="204"/>
      <c r="O43" s="204"/>
      <c r="P43" s="204"/>
      <c r="Q43" s="204"/>
      <c r="R43" s="204"/>
      <c r="S43" s="204"/>
      <c r="T43" s="204"/>
      <c r="U43" s="204"/>
      <c r="V43" s="204"/>
      <c r="W43" s="204"/>
      <c r="X43" s="204"/>
    </row>
    <row r="44" spans="1:27" ht="30.75" customHeight="1">
      <c r="A44" s="38"/>
      <c r="B44" s="38"/>
      <c r="C44" s="38"/>
      <c r="D44" s="38"/>
      <c r="E44" s="38"/>
      <c r="F44" s="38"/>
      <c r="G44" s="38"/>
      <c r="H44" s="38"/>
      <c r="I44" s="38"/>
      <c r="J44" s="43"/>
      <c r="K44" s="43"/>
      <c r="L44" s="43"/>
      <c r="M44" s="100" t="s">
        <v>132</v>
      </c>
      <c r="N44" s="100" t="s">
        <v>4</v>
      </c>
      <c r="O44" s="100" t="s">
        <v>41</v>
      </c>
      <c r="P44" s="149" t="s">
        <v>188</v>
      </c>
      <c r="Q44" s="163" t="s">
        <v>5</v>
      </c>
      <c r="R44" s="163" t="s">
        <v>96</v>
      </c>
      <c r="S44" s="163" t="s">
        <v>100</v>
      </c>
      <c r="T44" s="149" t="s">
        <v>181</v>
      </c>
      <c r="U44" s="149" t="s">
        <v>182</v>
      </c>
      <c r="V44" s="149" t="s">
        <v>183</v>
      </c>
      <c r="W44" s="100" t="s">
        <v>52</v>
      </c>
      <c r="X44" s="100" t="s">
        <v>53</v>
      </c>
      <c r="Y44" s="74" t="s">
        <v>56</v>
      </c>
    </row>
    <row r="45" spans="1:27" ht="16.5" customHeight="1">
      <c r="A45" s="38"/>
      <c r="B45" s="38"/>
      <c r="C45" s="38"/>
      <c r="D45" s="38"/>
      <c r="E45" s="38"/>
      <c r="F45" s="157"/>
      <c r="G45" s="157"/>
      <c r="H45" s="157"/>
      <c r="I45" s="157"/>
      <c r="J45" s="157"/>
      <c r="K45" s="157"/>
      <c r="L45" s="69" t="s">
        <v>232</v>
      </c>
      <c r="M45" s="71">
        <f>+M40</f>
        <v>-1025928</v>
      </c>
      <c r="N45" s="71">
        <f t="shared" ref="N45:W45" si="7">+N40</f>
        <v>0</v>
      </c>
      <c r="O45" s="71">
        <f t="shared" si="7"/>
        <v>2867.9499999999971</v>
      </c>
      <c r="P45" s="71">
        <f t="shared" si="7"/>
        <v>-83.449999999999818</v>
      </c>
      <c r="Q45" s="71">
        <f t="shared" si="7"/>
        <v>14685</v>
      </c>
      <c r="R45" s="71">
        <f t="shared" si="7"/>
        <v>8390</v>
      </c>
      <c r="S45" s="71">
        <f t="shared" si="7"/>
        <v>0</v>
      </c>
      <c r="T45" s="71">
        <f t="shared" si="7"/>
        <v>0</v>
      </c>
      <c r="U45" s="71">
        <f t="shared" si="7"/>
        <v>1657700.96</v>
      </c>
      <c r="V45" s="71">
        <f t="shared" si="7"/>
        <v>152549</v>
      </c>
      <c r="W45" s="71">
        <f t="shared" si="7"/>
        <v>0</v>
      </c>
      <c r="X45" s="71">
        <f>SUM(M45:W45)</f>
        <v>810181.46</v>
      </c>
      <c r="Y45" s="71">
        <f ca="1">Y36</f>
        <v>729536.81</v>
      </c>
    </row>
    <row r="46" spans="1:27" ht="14.4">
      <c r="A46" s="38"/>
      <c r="B46" s="38"/>
      <c r="C46" s="38"/>
      <c r="D46" s="38"/>
      <c r="E46" s="38"/>
      <c r="F46" s="157"/>
      <c r="G46" s="157"/>
      <c r="H46" s="157"/>
      <c r="I46" s="157"/>
      <c r="J46" s="157"/>
      <c r="K46" s="157"/>
      <c r="L46" s="69" t="s">
        <v>233</v>
      </c>
      <c r="M46" s="99">
        <v>0</v>
      </c>
      <c r="N46" s="99">
        <v>0</v>
      </c>
      <c r="O46" s="99">
        <v>0</v>
      </c>
      <c r="P46" s="99">
        <v>0</v>
      </c>
      <c r="Q46" s="99">
        <v>0</v>
      </c>
      <c r="R46" s="99">
        <v>0</v>
      </c>
      <c r="S46" s="99">
        <v>0</v>
      </c>
      <c r="T46" s="99">
        <v>0</v>
      </c>
      <c r="U46" s="99">
        <v>0</v>
      </c>
      <c r="V46" s="99">
        <v>0</v>
      </c>
      <c r="W46" s="99">
        <v>0</v>
      </c>
      <c r="X46" s="169">
        <f t="shared" ref="X46:X48" si="8">SUM(M46:W46)</f>
        <v>0</v>
      </c>
      <c r="Y46" s="99">
        <v>0</v>
      </c>
    </row>
    <row r="47" spans="1:27">
      <c r="A47" s="161"/>
      <c r="B47" s="162"/>
      <c r="C47" s="162"/>
      <c r="D47" s="162"/>
      <c r="E47" s="162"/>
      <c r="F47" s="162"/>
      <c r="G47" s="162"/>
      <c r="H47" s="162"/>
      <c r="I47" s="162"/>
      <c r="J47" s="162"/>
      <c r="K47" s="162"/>
      <c r="L47" s="69" t="s">
        <v>234</v>
      </c>
      <c r="M47" s="71">
        <f>SUM(M45:M46)</f>
        <v>-1025928</v>
      </c>
      <c r="N47" s="71">
        <f t="shared" ref="N47:W47" si="9">SUM(N45:N46)</f>
        <v>0</v>
      </c>
      <c r="O47" s="71">
        <f t="shared" si="9"/>
        <v>2867.9499999999971</v>
      </c>
      <c r="P47" s="71">
        <f t="shared" si="9"/>
        <v>-83.449999999999818</v>
      </c>
      <c r="Q47" s="71">
        <f t="shared" si="9"/>
        <v>14685</v>
      </c>
      <c r="R47" s="71">
        <f t="shared" si="9"/>
        <v>8390</v>
      </c>
      <c r="S47" s="71">
        <f t="shared" si="9"/>
        <v>0</v>
      </c>
      <c r="T47" s="71">
        <f t="shared" si="9"/>
        <v>0</v>
      </c>
      <c r="U47" s="71">
        <f t="shared" si="9"/>
        <v>1657700.96</v>
      </c>
      <c r="V47" s="71">
        <f t="shared" si="9"/>
        <v>152549</v>
      </c>
      <c r="W47" s="71">
        <f t="shared" si="9"/>
        <v>0</v>
      </c>
      <c r="X47" s="71">
        <f t="shared" si="8"/>
        <v>810181.46</v>
      </c>
      <c r="Y47" s="71">
        <f ca="1">SUM(Y45:Y46)</f>
        <v>729536.81</v>
      </c>
    </row>
    <row r="48" spans="1:27">
      <c r="A48" s="38"/>
      <c r="B48" s="38"/>
      <c r="C48" s="38"/>
      <c r="D48" s="38"/>
      <c r="E48" s="38"/>
      <c r="F48" s="38"/>
      <c r="G48" s="38"/>
      <c r="H48" s="38"/>
      <c r="I48" s="38"/>
      <c r="J48" s="43"/>
      <c r="K48" s="43"/>
      <c r="L48" s="70" t="s">
        <v>235</v>
      </c>
      <c r="M48" s="99">
        <f>+M45-M40</f>
        <v>0</v>
      </c>
      <c r="N48" s="99">
        <f t="shared" ref="N48:W48" si="10">+N45-N40</f>
        <v>0</v>
      </c>
      <c r="O48" s="99">
        <f>+O45-O40</f>
        <v>0</v>
      </c>
      <c r="P48" s="99">
        <f>+P45-P40</f>
        <v>0</v>
      </c>
      <c r="Q48" s="99">
        <f t="shared" si="10"/>
        <v>0</v>
      </c>
      <c r="R48" s="99">
        <f t="shared" si="10"/>
        <v>0</v>
      </c>
      <c r="S48" s="99">
        <f t="shared" si="10"/>
        <v>0</v>
      </c>
      <c r="T48" s="99">
        <f t="shared" si="10"/>
        <v>0</v>
      </c>
      <c r="U48" s="99">
        <f t="shared" si="10"/>
        <v>0</v>
      </c>
      <c r="V48" s="99">
        <f t="shared" si="10"/>
        <v>0</v>
      </c>
      <c r="W48" s="99">
        <f t="shared" si="10"/>
        <v>0</v>
      </c>
      <c r="X48" s="169">
        <f t="shared" si="8"/>
        <v>0</v>
      </c>
      <c r="Y48" s="99">
        <v>0</v>
      </c>
    </row>
    <row r="50" spans="1:25">
      <c r="W50" s="27"/>
      <c r="X50" s="27"/>
      <c r="Y50" s="181"/>
    </row>
    <row r="52" spans="1:25">
      <c r="A52" s="199" t="s">
        <v>221</v>
      </c>
    </row>
    <row r="54" spans="1:25" ht="14.4">
      <c r="A54" t="s">
        <v>220</v>
      </c>
    </row>
    <row r="55" spans="1:25" ht="14.4">
      <c r="B55" s="198" t="s">
        <v>218</v>
      </c>
    </row>
    <row r="56" spans="1:25" ht="14.4">
      <c r="B56" s="198" t="s">
        <v>219</v>
      </c>
    </row>
    <row r="58" spans="1:25" ht="14.4">
      <c r="A58" t="s">
        <v>255</v>
      </c>
      <c r="B58"/>
    </row>
    <row r="59" spans="1:25" ht="14.4">
      <c r="A59"/>
      <c r="B59"/>
    </row>
    <row r="60" spans="1:25" ht="14.4">
      <c r="A60"/>
      <c r="B60"/>
    </row>
    <row r="61" spans="1:25" ht="14.4">
      <c r="A61"/>
      <c r="B61"/>
    </row>
    <row r="62" spans="1:25" ht="14.4">
      <c r="A62"/>
      <c r="B62"/>
    </row>
  </sheetData>
  <sheetProtection autoFilter="0"/>
  <mergeCells count="11">
    <mergeCell ref="M2:X2"/>
    <mergeCell ref="M1:X1"/>
    <mergeCell ref="A43:D43"/>
    <mergeCell ref="M43:X43"/>
    <mergeCell ref="A28:D28"/>
    <mergeCell ref="A1:F1"/>
    <mergeCell ref="A14:D14"/>
    <mergeCell ref="A3:D3"/>
    <mergeCell ref="A5:D5"/>
    <mergeCell ref="A9:J9"/>
    <mergeCell ref="I14:L14"/>
  </mergeCells>
  <pageMargins left="0.5" right="0.25" top="0.75" bottom="0.5" header="0.3" footer="0.3"/>
  <pageSetup paperSize="17" scale="79" fitToHeight="0" orientation="landscape" horizontalDpi="1200" verticalDpi="1200" r:id="rId1"/>
  <headerFooter>
    <oddFooter>&amp;L&amp;8&amp;Z&amp;F&amp;R&amp;P of &amp;N</oddFooter>
  </headerFooter>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124"/>
  <sheetViews>
    <sheetView zoomScaleNormal="100" workbookViewId="0">
      <selection activeCell="I66" sqref="I66"/>
    </sheetView>
  </sheetViews>
  <sheetFormatPr defaultColWidth="19.6640625" defaultRowHeight="14.4"/>
  <cols>
    <col min="1" max="1" width="16.33203125" style="16" bestFit="1" customWidth="1"/>
    <col min="2" max="2" width="16.77734375" style="16" bestFit="1" customWidth="1"/>
    <col min="3" max="3" width="18.109375" style="16" bestFit="1" customWidth="1"/>
    <col min="4" max="5" width="8.6640625" style="16" bestFit="1" customWidth="1"/>
    <col min="6" max="6" width="16.21875" style="16" bestFit="1" customWidth="1"/>
    <col min="7" max="7" width="31.109375" style="16" bestFit="1" customWidth="1"/>
    <col min="8" max="8" width="37.109375" style="17" bestFit="1" customWidth="1"/>
    <col min="9" max="9" width="13.21875" style="16" bestFit="1" customWidth="1"/>
    <col min="10" max="10" width="7.77734375" style="16" bestFit="1" customWidth="1"/>
    <col min="11" max="11" width="10.21875" style="16" bestFit="1" customWidth="1"/>
    <col min="12" max="12" width="15.44140625" style="16" bestFit="1" customWidth="1"/>
    <col min="13" max="13" width="11.6640625" style="16" bestFit="1" customWidth="1"/>
    <col min="14" max="14" width="10.6640625" style="16" bestFit="1" customWidth="1"/>
    <col min="15" max="15" width="11.88671875" style="16" bestFit="1" customWidth="1"/>
    <col min="16" max="16" width="5.5546875" style="16" bestFit="1" customWidth="1"/>
    <col min="17" max="17" width="10.6640625" style="16" bestFit="1" customWidth="1"/>
    <col min="18" max="18" width="11.6640625" style="16" bestFit="1" customWidth="1"/>
    <col min="19" max="19" width="9.5546875" style="16" bestFit="1" customWidth="1"/>
    <col min="20" max="20" width="13.21875" style="16" bestFit="1" customWidth="1"/>
    <col min="21" max="21" width="11.77734375" style="16" bestFit="1" customWidth="1"/>
    <col min="22" max="22" width="11.6640625" style="16" bestFit="1" customWidth="1"/>
    <col min="23" max="23" width="9.88671875" style="16" bestFit="1" customWidth="1"/>
    <col min="24" max="24" width="10" style="16" bestFit="1" customWidth="1"/>
    <col min="25" max="25" width="10.109375" style="16" bestFit="1" customWidth="1"/>
    <col min="26" max="26" width="8.109375" style="16" bestFit="1" customWidth="1"/>
    <col min="27" max="27" width="8.77734375" style="16" bestFit="1" customWidth="1"/>
    <col min="28" max="28" width="64.33203125" style="16" customWidth="1"/>
    <col min="29" max="29" width="14" style="16" customWidth="1"/>
    <col min="30" max="30" width="16.88671875" style="16" customWidth="1"/>
    <col min="31" max="31" width="12.109375" style="16" customWidth="1"/>
    <col min="32" max="32" width="16" style="16" customWidth="1"/>
  </cols>
  <sheetData>
    <row r="1" spans="1:32" ht="18">
      <c r="A1" s="214" t="str">
        <f>+'Federal Funds Transactions'!A1:F1</f>
        <v>Lake Havasu Metropolitan Planning Organization</v>
      </c>
      <c r="B1" s="214"/>
      <c r="C1" s="214"/>
      <c r="D1" s="214"/>
      <c r="E1" s="214"/>
      <c r="F1" s="214"/>
    </row>
    <row r="2" spans="1:32">
      <c r="A2" s="18"/>
      <c r="B2" s="18"/>
      <c r="C2" s="18"/>
      <c r="D2" s="18"/>
      <c r="E2" s="18"/>
      <c r="F2" s="18"/>
    </row>
    <row r="3" spans="1:32">
      <c r="A3" s="215" t="s">
        <v>78</v>
      </c>
      <c r="B3" s="215"/>
      <c r="C3" s="215"/>
      <c r="D3" s="215"/>
      <c r="E3" s="215"/>
      <c r="F3" s="215"/>
    </row>
    <row r="4" spans="1:32">
      <c r="A4" s="19"/>
      <c r="B4" s="19"/>
      <c r="C4" s="19"/>
      <c r="D4" s="19"/>
      <c r="E4" s="19"/>
      <c r="F4" s="19"/>
    </row>
    <row r="5" spans="1:32">
      <c r="A5" s="16" t="s">
        <v>77</v>
      </c>
      <c r="B5" s="52">
        <f>+'Federal Funds Transactions'!C6</f>
        <v>46024</v>
      </c>
      <c r="C5" s="18"/>
      <c r="D5" s="18"/>
      <c r="E5" s="18"/>
      <c r="F5" s="18"/>
    </row>
    <row r="6" spans="1:32">
      <c r="A6" s="18"/>
      <c r="B6" s="18"/>
      <c r="C6" s="18"/>
      <c r="D6" s="18"/>
      <c r="E6" s="18"/>
      <c r="F6" s="18"/>
    </row>
    <row r="7" spans="1:32" ht="15" customHeight="1">
      <c r="A7" s="218" t="str">
        <f>+'Federal Funds Transactions'!A9:K9</f>
        <v>IMPORTANT! Please review the information in the Notes tab for further explanation of the data in this document.</v>
      </c>
      <c r="B7" s="218"/>
      <c r="C7" s="218"/>
      <c r="D7" s="218"/>
      <c r="E7" s="218"/>
      <c r="F7" s="218"/>
      <c r="G7" s="218"/>
      <c r="H7" s="218"/>
    </row>
    <row r="9" spans="1:32" ht="15.75" customHeight="1">
      <c r="A9" s="216" t="s">
        <v>75</v>
      </c>
      <c r="B9" s="216"/>
      <c r="C9" s="216"/>
      <c r="D9" s="216"/>
      <c r="E9" s="216"/>
      <c r="F9" s="216"/>
      <c r="G9" s="216"/>
      <c r="M9" s="20"/>
      <c r="N9" s="20"/>
      <c r="O9" s="20"/>
      <c r="P9" s="20"/>
      <c r="Q9" s="20"/>
      <c r="R9" s="20"/>
      <c r="S9" s="20"/>
      <c r="T9" s="20"/>
      <c r="U9" s="20"/>
      <c r="V9" s="20"/>
      <c r="W9" s="20"/>
      <c r="X9" s="20"/>
      <c r="Y9" s="20"/>
      <c r="Z9" s="20"/>
      <c r="AA9" s="20"/>
      <c r="AB9" s="20"/>
      <c r="AC9" s="20"/>
      <c r="AD9" s="20"/>
    </row>
    <row r="10" spans="1:32" ht="15.6">
      <c r="A10" s="21"/>
      <c r="B10" s="21"/>
      <c r="C10" s="21"/>
      <c r="D10" s="21"/>
      <c r="E10" s="22"/>
      <c r="F10" s="22"/>
      <c r="G10" s="22"/>
      <c r="H10" s="23"/>
      <c r="I10" s="22"/>
      <c r="J10" s="22"/>
      <c r="K10" s="22"/>
      <c r="L10" s="22"/>
      <c r="M10" s="20"/>
      <c r="N10" s="20"/>
      <c r="O10" s="20"/>
      <c r="P10" s="20"/>
      <c r="Q10" s="20"/>
      <c r="R10" s="20"/>
      <c r="S10" s="20"/>
      <c r="T10" s="20"/>
      <c r="U10" s="20"/>
      <c r="V10" s="20"/>
      <c r="W10" s="20"/>
      <c r="X10" s="20"/>
      <c r="Y10" s="20"/>
      <c r="Z10" s="20"/>
      <c r="AA10" s="20"/>
      <c r="AB10" s="20"/>
      <c r="AC10" s="20"/>
      <c r="AD10" s="20"/>
      <c r="AE10" s="22"/>
      <c r="AF10" s="22"/>
    </row>
    <row r="11" spans="1:32">
      <c r="A11" s="55" t="s">
        <v>42</v>
      </c>
      <c r="B11" s="56" t="s">
        <v>43</v>
      </c>
      <c r="C11" s="56" t="s">
        <v>13</v>
      </c>
      <c r="D11" s="56" t="s">
        <v>81</v>
      </c>
      <c r="E11" s="56" t="s">
        <v>82</v>
      </c>
      <c r="F11" s="56" t="s">
        <v>44</v>
      </c>
      <c r="G11" s="56" t="s">
        <v>83</v>
      </c>
      <c r="H11" s="56" t="s">
        <v>84</v>
      </c>
      <c r="I11" s="56" t="s">
        <v>10</v>
      </c>
      <c r="J11" s="56" t="s">
        <v>178</v>
      </c>
      <c r="K11" s="56" t="s">
        <v>179</v>
      </c>
      <c r="L11" s="56" t="s">
        <v>131</v>
      </c>
      <c r="M11" s="56" t="s">
        <v>4</v>
      </c>
      <c r="N11" s="56" t="s">
        <v>127</v>
      </c>
      <c r="O11" s="56" t="s">
        <v>180</v>
      </c>
      <c r="P11" s="56" t="s">
        <v>5</v>
      </c>
      <c r="Q11" s="56" t="s">
        <v>96</v>
      </c>
      <c r="R11" s="57" t="s">
        <v>100</v>
      </c>
      <c r="S11" s="56" t="s">
        <v>181</v>
      </c>
      <c r="T11" s="56" t="s">
        <v>182</v>
      </c>
      <c r="U11" s="56" t="s">
        <v>183</v>
      </c>
      <c r="V11" s="56" t="s">
        <v>184</v>
      </c>
      <c r="W11" s="56" t="s">
        <v>185</v>
      </c>
      <c r="X11" s="56" t="s">
        <v>186</v>
      </c>
      <c r="Y11" s="56" t="s">
        <v>187</v>
      </c>
      <c r="Z11" s="56" t="s">
        <v>128</v>
      </c>
      <c r="AA11" s="56" t="s">
        <v>129</v>
      </c>
      <c r="AB11"/>
      <c r="AC11"/>
      <c r="AD11"/>
      <c r="AE11"/>
      <c r="AF11"/>
    </row>
    <row r="12" spans="1:32">
      <c r="A12" s="46" t="s">
        <v>88</v>
      </c>
      <c r="B12" s="44" t="s">
        <v>93</v>
      </c>
      <c r="C12" s="44" t="s">
        <v>105</v>
      </c>
      <c r="D12" s="44" t="s">
        <v>106</v>
      </c>
      <c r="E12" s="44" t="s">
        <v>87</v>
      </c>
      <c r="F12" s="44" t="s">
        <v>88</v>
      </c>
      <c r="G12" s="44"/>
      <c r="H12" s="44" t="s">
        <v>107</v>
      </c>
      <c r="I12" s="44">
        <v>-19147</v>
      </c>
      <c r="J12" s="44"/>
      <c r="K12" s="44"/>
      <c r="L12" s="44"/>
      <c r="M12" s="44"/>
      <c r="N12" s="44">
        <v>-19147</v>
      </c>
      <c r="O12" s="45"/>
      <c r="P12" s="45"/>
      <c r="Q12" s="45"/>
      <c r="R12" s="48"/>
      <c r="S12" s="22"/>
      <c r="T12" s="137"/>
      <c r="U12" s="137"/>
      <c r="V12" s="137"/>
      <c r="W12" s="137"/>
      <c r="X12" s="137"/>
      <c r="Y12" s="137"/>
      <c r="Z12" s="137"/>
      <c r="AA12" s="137"/>
      <c r="AB12"/>
      <c r="AC12"/>
      <c r="AD12"/>
      <c r="AE12"/>
      <c r="AF12"/>
    </row>
    <row r="13" spans="1:32">
      <c r="A13" s="47" t="s">
        <v>88</v>
      </c>
      <c r="B13" s="45" t="s">
        <v>99</v>
      </c>
      <c r="C13" s="45" t="s">
        <v>108</v>
      </c>
      <c r="D13" s="45" t="s">
        <v>106</v>
      </c>
      <c r="E13" s="45" t="s">
        <v>103</v>
      </c>
      <c r="F13" s="45"/>
      <c r="G13" s="45"/>
      <c r="H13" s="45" t="s">
        <v>109</v>
      </c>
      <c r="I13" s="45">
        <v>-519767</v>
      </c>
      <c r="J13" s="45"/>
      <c r="K13" s="45"/>
      <c r="L13" s="45"/>
      <c r="M13" s="45">
        <v>-519767</v>
      </c>
      <c r="N13" s="45"/>
      <c r="O13" s="45"/>
      <c r="P13" s="45"/>
      <c r="Q13" s="45"/>
      <c r="R13" s="48"/>
      <c r="S13" s="22"/>
      <c r="T13" s="137"/>
      <c r="U13" s="137"/>
      <c r="V13" s="137"/>
      <c r="W13" s="137"/>
      <c r="X13" s="137"/>
      <c r="Y13" s="137"/>
      <c r="Z13" s="137"/>
      <c r="AA13" s="137"/>
      <c r="AB13"/>
      <c r="AC13"/>
      <c r="AD13"/>
      <c r="AE13"/>
      <c r="AF13"/>
    </row>
    <row r="14" spans="1:32">
      <c r="A14" s="47" t="s">
        <v>88</v>
      </c>
      <c r="B14" s="45" t="s">
        <v>99</v>
      </c>
      <c r="C14" s="45" t="s">
        <v>110</v>
      </c>
      <c r="D14" s="45" t="s">
        <v>106</v>
      </c>
      <c r="E14" s="45" t="s">
        <v>103</v>
      </c>
      <c r="F14" s="45" t="s">
        <v>89</v>
      </c>
      <c r="G14" s="45"/>
      <c r="H14" s="45" t="s">
        <v>111</v>
      </c>
      <c r="I14" s="45">
        <v>-302770</v>
      </c>
      <c r="J14" s="45"/>
      <c r="K14" s="45"/>
      <c r="L14" s="45"/>
      <c r="M14" s="45"/>
      <c r="N14" s="45"/>
      <c r="O14" s="45"/>
      <c r="P14" s="45"/>
      <c r="Q14" s="45"/>
      <c r="R14" s="48"/>
      <c r="S14" s="22"/>
      <c r="T14" s="137"/>
      <c r="U14" s="137"/>
      <c r="V14" s="137">
        <v>-302770</v>
      </c>
      <c r="W14" s="137"/>
      <c r="X14" s="137"/>
      <c r="Y14" s="137"/>
      <c r="Z14" s="137"/>
      <c r="AA14" s="137"/>
      <c r="AB14"/>
      <c r="AC14"/>
      <c r="AD14"/>
      <c r="AE14"/>
      <c r="AF14"/>
    </row>
    <row r="15" spans="1:32">
      <c r="A15" s="47" t="s">
        <v>91</v>
      </c>
      <c r="B15" s="45" t="s">
        <v>85</v>
      </c>
      <c r="C15" s="45" t="s">
        <v>112</v>
      </c>
      <c r="D15" s="45" t="s">
        <v>106</v>
      </c>
      <c r="E15" s="45" t="s">
        <v>103</v>
      </c>
      <c r="F15" s="45" t="s">
        <v>95</v>
      </c>
      <c r="G15" s="45"/>
      <c r="H15" s="45" t="s">
        <v>113</v>
      </c>
      <c r="I15" s="45">
        <v>-165341</v>
      </c>
      <c r="J15" s="45"/>
      <c r="K15" s="45"/>
      <c r="L15" s="45"/>
      <c r="M15" s="45">
        <v>-165341</v>
      </c>
      <c r="N15" s="45"/>
      <c r="O15" s="45"/>
      <c r="P15" s="45"/>
      <c r="Q15" s="45"/>
      <c r="R15" s="48"/>
      <c r="S15" s="22"/>
      <c r="T15" s="137"/>
      <c r="U15" s="137"/>
      <c r="V15" s="137"/>
      <c r="W15" s="137"/>
      <c r="X15" s="137"/>
      <c r="Y15" s="137"/>
      <c r="Z15" s="137"/>
      <c r="AA15" s="137"/>
      <c r="AB15"/>
      <c r="AC15"/>
      <c r="AD15"/>
      <c r="AE15"/>
      <c r="AF15"/>
    </row>
    <row r="16" spans="1:32">
      <c r="A16" s="47" t="s">
        <v>91</v>
      </c>
      <c r="B16" s="45" t="s">
        <v>99</v>
      </c>
      <c r="C16" s="45" t="s">
        <v>110</v>
      </c>
      <c r="D16" s="45" t="s">
        <v>106</v>
      </c>
      <c r="E16" s="45" t="s">
        <v>103</v>
      </c>
      <c r="F16" s="45" t="s">
        <v>89</v>
      </c>
      <c r="G16" s="45"/>
      <c r="H16" s="45" t="s">
        <v>114</v>
      </c>
      <c r="I16" s="45">
        <v>-302770</v>
      </c>
      <c r="J16" s="45"/>
      <c r="K16" s="45"/>
      <c r="L16" s="45"/>
      <c r="M16" s="45"/>
      <c r="N16" s="45"/>
      <c r="O16" s="45"/>
      <c r="P16" s="45"/>
      <c r="Q16" s="45"/>
      <c r="R16" s="48"/>
      <c r="S16" s="22"/>
      <c r="T16" s="137"/>
      <c r="U16" s="137"/>
      <c r="V16" s="137">
        <v>-302770</v>
      </c>
      <c r="W16" s="137"/>
      <c r="X16" s="137"/>
      <c r="Y16" s="137"/>
      <c r="Z16" s="137"/>
      <c r="AA16" s="137"/>
      <c r="AB16"/>
      <c r="AC16"/>
      <c r="AD16"/>
      <c r="AE16"/>
      <c r="AF16"/>
    </row>
    <row r="17" spans="1:32">
      <c r="A17" s="49" t="s">
        <v>90</v>
      </c>
      <c r="B17" s="50" t="s">
        <v>85</v>
      </c>
      <c r="C17" s="50" t="s">
        <v>115</v>
      </c>
      <c r="D17" s="50" t="s">
        <v>106</v>
      </c>
      <c r="E17" s="50" t="s">
        <v>87</v>
      </c>
      <c r="F17" s="50" t="s">
        <v>116</v>
      </c>
      <c r="G17" s="50"/>
      <c r="H17" s="50" t="s">
        <v>117</v>
      </c>
      <c r="I17" s="50">
        <v>-100256</v>
      </c>
      <c r="J17" s="50"/>
      <c r="K17" s="50"/>
      <c r="L17" s="50"/>
      <c r="M17" s="50">
        <v>-100256</v>
      </c>
      <c r="N17" s="50"/>
      <c r="O17" s="50"/>
      <c r="P17" s="50"/>
      <c r="Q17" s="50"/>
      <c r="R17" s="51"/>
      <c r="S17" s="22"/>
      <c r="T17" s="137"/>
      <c r="U17" s="137"/>
      <c r="V17" s="137"/>
      <c r="W17" s="137"/>
      <c r="X17" s="137"/>
      <c r="Y17" s="137"/>
      <c r="Z17" s="137"/>
      <c r="AA17" s="137"/>
      <c r="AB17"/>
      <c r="AC17"/>
      <c r="AD17"/>
      <c r="AE17"/>
      <c r="AF17"/>
    </row>
    <row r="18" spans="1:32">
      <c r="A18" s="64" t="s">
        <v>90</v>
      </c>
      <c r="B18" s="65" t="s">
        <v>99</v>
      </c>
      <c r="C18" s="65" t="s">
        <v>110</v>
      </c>
      <c r="D18" s="65" t="s">
        <v>106</v>
      </c>
      <c r="E18" s="65" t="s">
        <v>103</v>
      </c>
      <c r="F18" s="65" t="s">
        <v>89</v>
      </c>
      <c r="G18" s="65"/>
      <c r="H18" s="65" t="s">
        <v>118</v>
      </c>
      <c r="I18" s="65">
        <v>-302770</v>
      </c>
      <c r="J18" s="65"/>
      <c r="K18" s="65"/>
      <c r="L18" s="65"/>
      <c r="M18" s="65"/>
      <c r="N18" s="65"/>
      <c r="O18" s="65"/>
      <c r="P18" s="65"/>
      <c r="Q18" s="65"/>
      <c r="R18" s="66"/>
      <c r="S18" s="22"/>
      <c r="T18" s="137"/>
      <c r="U18" s="137"/>
      <c r="V18" s="137">
        <v>-302770</v>
      </c>
      <c r="W18" s="137"/>
      <c r="X18" s="137"/>
      <c r="Y18" s="137"/>
      <c r="Z18" s="137"/>
      <c r="AA18" s="137"/>
      <c r="AB18"/>
      <c r="AC18"/>
      <c r="AD18"/>
      <c r="AE18"/>
      <c r="AF18"/>
    </row>
    <row r="19" spans="1:32">
      <c r="A19" s="76" t="s">
        <v>94</v>
      </c>
      <c r="B19" s="78" t="s">
        <v>85</v>
      </c>
      <c r="C19" s="78" t="s">
        <v>119</v>
      </c>
      <c r="D19" s="78" t="s">
        <v>106</v>
      </c>
      <c r="E19" s="78" t="s">
        <v>87</v>
      </c>
      <c r="F19" s="78" t="s">
        <v>95</v>
      </c>
      <c r="G19" s="78" t="s">
        <v>120</v>
      </c>
      <c r="H19" s="78" t="s">
        <v>117</v>
      </c>
      <c r="I19" s="78">
        <v>-534762</v>
      </c>
      <c r="J19" s="78"/>
      <c r="K19" s="78"/>
      <c r="L19" s="78"/>
      <c r="M19" s="78">
        <v>-534762</v>
      </c>
      <c r="N19" s="78"/>
      <c r="O19" s="78"/>
      <c r="P19" s="78"/>
      <c r="Q19" s="78"/>
      <c r="R19" s="80"/>
      <c r="S19" s="22"/>
      <c r="T19" s="137"/>
      <c r="U19" s="137"/>
      <c r="V19" s="137"/>
      <c r="W19" s="137"/>
      <c r="X19" s="136"/>
      <c r="Y19" s="136"/>
      <c r="Z19" s="136"/>
      <c r="AA19" s="136"/>
      <c r="AB19"/>
      <c r="AC19"/>
      <c r="AD19"/>
      <c r="AE19"/>
      <c r="AF19"/>
    </row>
    <row r="20" spans="1:32">
      <c r="A20" s="77" t="s">
        <v>94</v>
      </c>
      <c r="B20" s="79" t="s">
        <v>86</v>
      </c>
      <c r="C20" s="79" t="s">
        <v>115</v>
      </c>
      <c r="D20" s="79" t="s">
        <v>87</v>
      </c>
      <c r="E20" s="79" t="s">
        <v>106</v>
      </c>
      <c r="F20" s="79" t="s">
        <v>94</v>
      </c>
      <c r="G20" s="79"/>
      <c r="H20" s="79" t="s">
        <v>117</v>
      </c>
      <c r="I20" s="79">
        <v>85256</v>
      </c>
      <c r="J20" s="79"/>
      <c r="K20" s="79"/>
      <c r="L20" s="79"/>
      <c r="M20" s="79">
        <v>85256</v>
      </c>
      <c r="N20" s="79"/>
      <c r="O20" s="79"/>
      <c r="P20" s="79"/>
      <c r="Q20" s="79"/>
      <c r="R20" s="81"/>
      <c r="S20" s="22"/>
      <c r="T20" s="137"/>
      <c r="U20" s="137"/>
      <c r="V20" s="137"/>
      <c r="W20" s="137"/>
      <c r="X20" s="136"/>
      <c r="Y20" s="136"/>
      <c r="Z20" s="136"/>
      <c r="AA20" s="136"/>
      <c r="AB20"/>
      <c r="AC20"/>
      <c r="AD20"/>
      <c r="AE20"/>
      <c r="AF20"/>
    </row>
    <row r="21" spans="1:32">
      <c r="A21" s="83" t="s">
        <v>94</v>
      </c>
      <c r="B21" s="84" t="s">
        <v>99</v>
      </c>
      <c r="C21" s="84" t="s">
        <v>110</v>
      </c>
      <c r="D21" s="84" t="s">
        <v>106</v>
      </c>
      <c r="E21" s="84" t="s">
        <v>103</v>
      </c>
      <c r="F21" s="84" t="s">
        <v>89</v>
      </c>
      <c r="G21" s="84"/>
      <c r="H21" s="84" t="s">
        <v>121</v>
      </c>
      <c r="I21" s="84">
        <v>-302770</v>
      </c>
      <c r="J21" s="84"/>
      <c r="K21" s="84"/>
      <c r="L21" s="84"/>
      <c r="M21" s="84"/>
      <c r="N21" s="84"/>
      <c r="O21" s="84"/>
      <c r="P21" s="84"/>
      <c r="Q21" s="84"/>
      <c r="R21" s="85"/>
      <c r="S21" s="22"/>
      <c r="T21" s="137"/>
      <c r="U21" s="137"/>
      <c r="V21" s="137">
        <v>-302770</v>
      </c>
      <c r="W21" s="137"/>
      <c r="X21" s="136"/>
      <c r="Y21" s="136"/>
      <c r="Z21" s="136"/>
      <c r="AA21" s="136"/>
      <c r="AB21"/>
      <c r="AC21"/>
      <c r="AD21"/>
      <c r="AE21"/>
      <c r="AF21"/>
    </row>
    <row r="22" spans="1:32">
      <c r="A22" s="86" t="s">
        <v>95</v>
      </c>
      <c r="B22" s="87" t="s">
        <v>85</v>
      </c>
      <c r="C22" s="87" t="s">
        <v>136</v>
      </c>
      <c r="D22" s="87" t="s">
        <v>106</v>
      </c>
      <c r="E22" s="87" t="s">
        <v>87</v>
      </c>
      <c r="F22" s="87" t="s">
        <v>89</v>
      </c>
      <c r="G22" s="87" t="s">
        <v>137</v>
      </c>
      <c r="H22" s="87" t="s">
        <v>135</v>
      </c>
      <c r="I22" s="87">
        <v>-50000</v>
      </c>
      <c r="J22" s="87"/>
      <c r="K22" s="87"/>
      <c r="L22" s="87"/>
      <c r="M22" s="87">
        <v>-50000</v>
      </c>
      <c r="N22" s="87"/>
      <c r="O22" s="87"/>
      <c r="P22" s="87"/>
      <c r="Q22" s="87"/>
      <c r="R22" s="88"/>
      <c r="S22" s="22"/>
      <c r="T22" s="137"/>
      <c r="U22" s="137"/>
      <c r="V22" s="137"/>
      <c r="W22" s="137"/>
      <c r="X22" s="136"/>
      <c r="Y22" s="136"/>
      <c r="Z22" s="136"/>
      <c r="AA22" s="136"/>
      <c r="AB22"/>
      <c r="AC22"/>
      <c r="AD22"/>
      <c r="AE22"/>
      <c r="AF22"/>
    </row>
    <row r="23" spans="1:32">
      <c r="A23" s="89" t="s">
        <v>95</v>
      </c>
      <c r="B23" s="91" t="s">
        <v>85</v>
      </c>
      <c r="C23" s="91" t="s">
        <v>138</v>
      </c>
      <c r="D23" s="91" t="s">
        <v>106</v>
      </c>
      <c r="E23" s="91" t="s">
        <v>87</v>
      </c>
      <c r="F23" s="91" t="s">
        <v>104</v>
      </c>
      <c r="G23" s="91" t="s">
        <v>140</v>
      </c>
      <c r="H23" s="91" t="s">
        <v>135</v>
      </c>
      <c r="I23" s="91">
        <v>-160000</v>
      </c>
      <c r="J23" s="91"/>
      <c r="K23" s="91"/>
      <c r="L23" s="91"/>
      <c r="M23" s="91">
        <v>-160000</v>
      </c>
      <c r="N23" s="91"/>
      <c r="O23" s="91"/>
      <c r="P23" s="91"/>
      <c r="Q23" s="91"/>
      <c r="R23" s="93"/>
      <c r="S23" s="22"/>
      <c r="T23" s="137"/>
      <c r="U23" s="137"/>
      <c r="V23" s="137"/>
      <c r="W23" s="137"/>
      <c r="X23" s="136"/>
      <c r="Y23" s="136"/>
      <c r="Z23" s="136"/>
      <c r="AA23" s="136"/>
      <c r="AB23"/>
      <c r="AC23"/>
      <c r="AD23"/>
      <c r="AE23"/>
      <c r="AF23"/>
    </row>
    <row r="24" spans="1:32">
      <c r="A24" s="90" t="s">
        <v>95</v>
      </c>
      <c r="B24" s="92" t="s">
        <v>85</v>
      </c>
      <c r="C24" s="92" t="s">
        <v>138</v>
      </c>
      <c r="D24" s="92" t="s">
        <v>106</v>
      </c>
      <c r="E24" s="92" t="s">
        <v>87</v>
      </c>
      <c r="F24" s="92" t="s">
        <v>141</v>
      </c>
      <c r="G24" s="92" t="s">
        <v>139</v>
      </c>
      <c r="H24" s="92" t="s">
        <v>135</v>
      </c>
      <c r="I24" s="92">
        <v>-101268</v>
      </c>
      <c r="J24" s="92"/>
      <c r="K24" s="92"/>
      <c r="L24" s="92"/>
      <c r="M24" s="92">
        <v>-101268</v>
      </c>
      <c r="N24" s="92"/>
      <c r="O24" s="92"/>
      <c r="P24" s="92"/>
      <c r="Q24" s="92"/>
      <c r="R24" s="94"/>
      <c r="S24" s="22"/>
      <c r="T24" s="137"/>
      <c r="U24" s="137"/>
      <c r="V24" s="137"/>
      <c r="W24" s="137"/>
      <c r="X24" s="136"/>
      <c r="Y24" s="136"/>
      <c r="Z24" s="136"/>
      <c r="AA24" s="136"/>
      <c r="AB24"/>
      <c r="AC24"/>
      <c r="AD24"/>
      <c r="AE24"/>
      <c r="AF24"/>
    </row>
    <row r="25" spans="1:32">
      <c r="A25" s="16" t="s">
        <v>95</v>
      </c>
      <c r="B25" s="16" t="s">
        <v>85</v>
      </c>
      <c r="C25" s="16" t="s">
        <v>142</v>
      </c>
      <c r="D25" s="16" t="s">
        <v>106</v>
      </c>
      <c r="E25" s="16" t="s">
        <v>87</v>
      </c>
      <c r="F25" s="16" t="s">
        <v>89</v>
      </c>
      <c r="G25" s="16" t="s">
        <v>134</v>
      </c>
      <c r="H25" s="16" t="s">
        <v>135</v>
      </c>
      <c r="I25" s="16">
        <v>-191140</v>
      </c>
      <c r="M25" s="16">
        <v>-191140</v>
      </c>
      <c r="T25" s="137"/>
      <c r="U25" s="137"/>
      <c r="V25" s="137"/>
      <c r="W25" s="137"/>
      <c r="X25" s="136"/>
      <c r="Y25" s="136"/>
      <c r="Z25" s="136"/>
      <c r="AA25" s="136"/>
      <c r="AB25"/>
      <c r="AC25"/>
      <c r="AD25"/>
      <c r="AE25"/>
      <c r="AF25"/>
    </row>
    <row r="26" spans="1:32">
      <c r="A26" s="16" t="s">
        <v>95</v>
      </c>
      <c r="B26" s="16" t="s">
        <v>86</v>
      </c>
      <c r="C26" s="16" t="s">
        <v>112</v>
      </c>
      <c r="D26" s="16" t="s">
        <v>103</v>
      </c>
      <c r="E26" s="16" t="s">
        <v>106</v>
      </c>
      <c r="F26" s="16" t="s">
        <v>95</v>
      </c>
      <c r="H26" s="16" t="s">
        <v>113</v>
      </c>
      <c r="I26" s="16">
        <v>165341</v>
      </c>
      <c r="M26" s="16">
        <v>165341</v>
      </c>
      <c r="T26" s="137"/>
      <c r="U26" s="137"/>
      <c r="V26" s="137"/>
      <c r="W26" s="137"/>
      <c r="X26" s="136"/>
      <c r="Y26" s="136"/>
      <c r="Z26" s="136"/>
      <c r="AA26" s="136"/>
      <c r="AB26"/>
      <c r="AC26"/>
      <c r="AD26"/>
      <c r="AE26"/>
      <c r="AF26"/>
    </row>
    <row r="27" spans="1:32">
      <c r="A27" s="16" t="s">
        <v>95</v>
      </c>
      <c r="B27" s="16" t="s">
        <v>86</v>
      </c>
      <c r="C27" s="16" t="s">
        <v>115</v>
      </c>
      <c r="D27" s="16" t="s">
        <v>87</v>
      </c>
      <c r="E27" s="16" t="s">
        <v>106</v>
      </c>
      <c r="F27" s="16" t="s">
        <v>95</v>
      </c>
      <c r="H27" s="16" t="s">
        <v>117</v>
      </c>
      <c r="I27" s="16">
        <v>15000</v>
      </c>
      <c r="M27" s="16">
        <v>15000</v>
      </c>
      <c r="T27" s="137"/>
      <c r="U27" s="137"/>
      <c r="V27" s="137"/>
      <c r="W27" s="137"/>
      <c r="X27" s="136"/>
      <c r="Y27" s="136"/>
      <c r="Z27" s="136"/>
      <c r="AA27" s="136"/>
      <c r="AB27"/>
      <c r="AC27"/>
      <c r="AD27"/>
      <c r="AE27"/>
      <c r="AF27"/>
    </row>
    <row r="28" spans="1:32">
      <c r="A28" s="104" t="s">
        <v>95</v>
      </c>
      <c r="B28" s="104" t="s">
        <v>86</v>
      </c>
      <c r="C28" s="104" t="s">
        <v>119</v>
      </c>
      <c r="D28" s="104" t="s">
        <v>87</v>
      </c>
      <c r="E28" s="104" t="s">
        <v>106</v>
      </c>
      <c r="F28" s="104" t="s">
        <v>95</v>
      </c>
      <c r="G28" s="104" t="s">
        <v>120</v>
      </c>
      <c r="H28" s="104" t="s">
        <v>117</v>
      </c>
      <c r="I28" s="104">
        <v>534762</v>
      </c>
      <c r="J28" s="104"/>
      <c r="K28" s="104"/>
      <c r="L28" s="104"/>
      <c r="M28" s="104">
        <v>534762</v>
      </c>
      <c r="N28" s="104"/>
      <c r="O28" s="104"/>
      <c r="P28" s="104"/>
      <c r="Q28" s="104"/>
      <c r="R28" s="104"/>
      <c r="S28" s="104"/>
      <c r="T28" s="136"/>
      <c r="U28" s="138"/>
      <c r="V28" s="136"/>
      <c r="W28" s="137"/>
      <c r="X28" s="137"/>
      <c r="Y28" s="137"/>
      <c r="Z28" s="137"/>
      <c r="AA28" s="136"/>
      <c r="AE28"/>
      <c r="AF28"/>
    </row>
    <row r="29" spans="1:32">
      <c r="A29" s="104" t="s">
        <v>95</v>
      </c>
      <c r="B29" s="104" t="s">
        <v>99</v>
      </c>
      <c r="C29" s="104" t="s">
        <v>110</v>
      </c>
      <c r="D29" s="104" t="s">
        <v>106</v>
      </c>
      <c r="E29" s="104" t="s">
        <v>103</v>
      </c>
      <c r="F29" s="104" t="s">
        <v>104</v>
      </c>
      <c r="G29" s="104"/>
      <c r="H29" s="104" t="s">
        <v>122</v>
      </c>
      <c r="I29" s="104">
        <v>-302770</v>
      </c>
      <c r="J29" s="104"/>
      <c r="K29" s="104"/>
      <c r="L29" s="104"/>
      <c r="M29" s="104"/>
      <c r="N29" s="104"/>
      <c r="O29" s="104"/>
      <c r="P29" s="104"/>
      <c r="Q29" s="104"/>
      <c r="R29" s="104"/>
      <c r="S29" s="104"/>
      <c r="T29" s="137"/>
      <c r="U29" s="137"/>
      <c r="V29" s="137">
        <v>-302770</v>
      </c>
      <c r="W29" s="137"/>
      <c r="X29" s="136"/>
      <c r="Y29" s="136"/>
      <c r="Z29" s="136"/>
      <c r="AA29" s="136"/>
      <c r="AB29"/>
      <c r="AC29"/>
      <c r="AD29"/>
      <c r="AE29"/>
      <c r="AF29"/>
    </row>
    <row r="30" spans="1:32">
      <c r="A30" s="104" t="s">
        <v>89</v>
      </c>
      <c r="B30" s="104" t="s">
        <v>85</v>
      </c>
      <c r="C30" s="104" t="s">
        <v>143</v>
      </c>
      <c r="D30" s="104" t="s">
        <v>106</v>
      </c>
      <c r="E30" s="104" t="s">
        <v>87</v>
      </c>
      <c r="F30" s="104" t="s">
        <v>141</v>
      </c>
      <c r="G30" s="104" t="s">
        <v>144</v>
      </c>
      <c r="H30" s="104" t="s">
        <v>135</v>
      </c>
      <c r="I30" s="104">
        <v>-10000</v>
      </c>
      <c r="J30" s="104"/>
      <c r="K30" s="104"/>
      <c r="L30" s="104"/>
      <c r="M30" s="104"/>
      <c r="N30" s="104"/>
      <c r="O30" s="104"/>
      <c r="P30" s="104"/>
      <c r="Q30" s="104">
        <v>-10000</v>
      </c>
      <c r="R30" s="104"/>
      <c r="S30" s="104"/>
      <c r="T30" s="136"/>
      <c r="U30" s="138"/>
      <c r="V30" s="136"/>
      <c r="W30" s="137"/>
      <c r="X30" s="137"/>
      <c r="Y30" s="137"/>
      <c r="Z30" s="137"/>
      <c r="AA30" s="136"/>
      <c r="AE30"/>
      <c r="AF30"/>
    </row>
    <row r="31" spans="1:32">
      <c r="A31" s="104" t="s">
        <v>89</v>
      </c>
      <c r="B31" s="104" t="s">
        <v>85</v>
      </c>
      <c r="C31" s="104" t="s">
        <v>143</v>
      </c>
      <c r="D31" s="104" t="s">
        <v>106</v>
      </c>
      <c r="E31" s="104" t="s">
        <v>87</v>
      </c>
      <c r="F31" s="104" t="s">
        <v>141</v>
      </c>
      <c r="G31" s="104" t="s">
        <v>145</v>
      </c>
      <c r="H31" s="104" t="s">
        <v>135</v>
      </c>
      <c r="I31" s="104">
        <v>-74612.45</v>
      </c>
      <c r="J31" s="104"/>
      <c r="K31" s="104"/>
      <c r="L31" s="104"/>
      <c r="M31" s="104"/>
      <c r="N31" s="104"/>
      <c r="O31" s="104"/>
      <c r="P31" s="104"/>
      <c r="Q31" s="104"/>
      <c r="R31" s="104">
        <v>-74612.45</v>
      </c>
      <c r="S31" s="104"/>
      <c r="T31" s="137"/>
      <c r="U31" s="137"/>
      <c r="V31" s="137"/>
      <c r="W31" s="137"/>
      <c r="X31" s="136"/>
      <c r="Y31" s="136"/>
      <c r="Z31" s="136"/>
      <c r="AA31" s="136"/>
      <c r="AB31"/>
      <c r="AC31"/>
      <c r="AD31"/>
      <c r="AE31"/>
      <c r="AF31"/>
    </row>
    <row r="32" spans="1:32">
      <c r="A32" s="104" t="s">
        <v>89</v>
      </c>
      <c r="B32" s="104" t="s">
        <v>86</v>
      </c>
      <c r="C32" s="104" t="s">
        <v>136</v>
      </c>
      <c r="D32" s="104" t="s">
        <v>87</v>
      </c>
      <c r="E32" s="104" t="s">
        <v>106</v>
      </c>
      <c r="F32" s="104" t="s">
        <v>89</v>
      </c>
      <c r="G32" s="104" t="s">
        <v>137</v>
      </c>
      <c r="H32" s="104" t="s">
        <v>135</v>
      </c>
      <c r="I32" s="104">
        <v>50000</v>
      </c>
      <c r="J32" s="104"/>
      <c r="K32" s="104"/>
      <c r="L32" s="104"/>
      <c r="M32" s="104"/>
      <c r="N32" s="104"/>
      <c r="O32" s="104"/>
      <c r="P32" s="104"/>
      <c r="Q32" s="104"/>
      <c r="R32" s="104">
        <v>50000</v>
      </c>
      <c r="S32" s="104"/>
      <c r="T32" s="137"/>
      <c r="U32" s="137"/>
      <c r="V32" s="137"/>
      <c r="W32" s="137"/>
      <c r="X32" s="136"/>
      <c r="Y32" s="136"/>
      <c r="Z32" s="136"/>
      <c r="AA32" s="136"/>
      <c r="AB32"/>
      <c r="AC32"/>
      <c r="AD32"/>
      <c r="AE32"/>
      <c r="AF32"/>
    </row>
    <row r="33" spans="1:32">
      <c r="A33" s="104" t="s">
        <v>89</v>
      </c>
      <c r="B33" s="104" t="s">
        <v>86</v>
      </c>
      <c r="C33" s="104" t="s">
        <v>142</v>
      </c>
      <c r="D33" s="104" t="s">
        <v>87</v>
      </c>
      <c r="E33" s="104" t="s">
        <v>106</v>
      </c>
      <c r="F33" s="104" t="s">
        <v>89</v>
      </c>
      <c r="G33" s="104" t="s">
        <v>134</v>
      </c>
      <c r="H33" s="104" t="s">
        <v>135</v>
      </c>
      <c r="I33" s="104">
        <v>191140</v>
      </c>
      <c r="J33" s="104"/>
      <c r="K33" s="104"/>
      <c r="L33" s="104"/>
      <c r="M33" s="104"/>
      <c r="N33" s="104"/>
      <c r="O33" s="104"/>
      <c r="P33" s="104"/>
      <c r="Q33" s="104"/>
      <c r="R33" s="104">
        <v>191140</v>
      </c>
      <c r="S33" s="104"/>
      <c r="T33" s="136"/>
      <c r="U33" s="138"/>
      <c r="V33" s="136"/>
      <c r="W33" s="137"/>
      <c r="X33" s="137"/>
      <c r="Y33" s="137"/>
      <c r="Z33" s="137"/>
      <c r="AA33" s="136"/>
      <c r="AE33"/>
      <c r="AF33"/>
    </row>
    <row r="34" spans="1:32">
      <c r="A34" s="104" t="s">
        <v>89</v>
      </c>
      <c r="B34" s="104" t="s">
        <v>99</v>
      </c>
      <c r="C34" s="104" t="s">
        <v>110</v>
      </c>
      <c r="D34" s="104" t="s">
        <v>106</v>
      </c>
      <c r="E34" s="104" t="s">
        <v>103</v>
      </c>
      <c r="F34" s="104" t="s">
        <v>104</v>
      </c>
      <c r="G34" s="104"/>
      <c r="H34" s="104" t="s">
        <v>123</v>
      </c>
      <c r="I34" s="104">
        <v>-302770</v>
      </c>
      <c r="J34" s="104"/>
      <c r="K34" s="104"/>
      <c r="L34" s="104"/>
      <c r="M34" s="104"/>
      <c r="N34" s="104"/>
      <c r="O34" s="104"/>
      <c r="P34" s="104"/>
      <c r="Q34" s="104"/>
      <c r="R34" s="104">
        <v>-302770</v>
      </c>
      <c r="S34" s="104"/>
      <c r="T34" s="137"/>
      <c r="U34" s="137"/>
      <c r="V34" s="137"/>
      <c r="W34" s="137"/>
      <c r="X34" s="136"/>
      <c r="Y34" s="136"/>
      <c r="Z34" s="136"/>
      <c r="AA34" s="136"/>
      <c r="AB34"/>
      <c r="AC34"/>
      <c r="AD34"/>
      <c r="AE34"/>
      <c r="AF34"/>
    </row>
    <row r="35" spans="1:32">
      <c r="A35" s="104" t="s">
        <v>104</v>
      </c>
      <c r="B35" s="104" t="s">
        <v>146</v>
      </c>
      <c r="C35" s="104" t="s">
        <v>147</v>
      </c>
      <c r="D35" s="104" t="s">
        <v>87</v>
      </c>
      <c r="E35" s="104" t="s">
        <v>106</v>
      </c>
      <c r="F35" s="104" t="s">
        <v>141</v>
      </c>
      <c r="G35" s="104" t="s">
        <v>148</v>
      </c>
      <c r="H35" s="104" t="s">
        <v>149</v>
      </c>
      <c r="I35" s="104">
        <v>24629</v>
      </c>
      <c r="J35" s="104"/>
      <c r="K35" s="104"/>
      <c r="L35" s="104"/>
      <c r="M35" s="104"/>
      <c r="N35" s="104"/>
      <c r="O35" s="104"/>
      <c r="P35" s="104"/>
      <c r="Q35" s="104"/>
      <c r="R35" s="104">
        <v>24629</v>
      </c>
      <c r="S35" s="104"/>
      <c r="T35" s="136"/>
      <c r="U35" s="138"/>
      <c r="V35" s="136"/>
      <c r="W35" s="137"/>
      <c r="X35" s="137"/>
      <c r="Y35" s="137"/>
      <c r="Z35" s="137"/>
      <c r="AA35" s="136"/>
      <c r="AE35"/>
      <c r="AF35"/>
    </row>
    <row r="36" spans="1:32">
      <c r="A36" s="106" t="s">
        <v>104</v>
      </c>
      <c r="B36" s="106" t="s">
        <v>85</v>
      </c>
      <c r="C36" s="106" t="s">
        <v>151</v>
      </c>
      <c r="D36" s="106" t="s">
        <v>106</v>
      </c>
      <c r="E36" s="106" t="s">
        <v>87</v>
      </c>
      <c r="F36" s="106" t="s">
        <v>141</v>
      </c>
      <c r="G36" s="106" t="s">
        <v>152</v>
      </c>
      <c r="H36" s="106" t="s">
        <v>135</v>
      </c>
      <c r="I36" s="106">
        <v>-12000.01</v>
      </c>
      <c r="J36" s="106"/>
      <c r="K36" s="106"/>
      <c r="L36" s="106"/>
      <c r="M36" s="106">
        <v>-12000.01</v>
      </c>
      <c r="N36" s="106"/>
      <c r="O36" s="106"/>
      <c r="P36" s="106"/>
      <c r="Q36" s="106"/>
      <c r="R36" s="106"/>
      <c r="S36" s="106"/>
      <c r="T36" s="137"/>
      <c r="U36" s="137"/>
      <c r="V36" s="137"/>
      <c r="W36" s="137"/>
      <c r="X36" s="136"/>
      <c r="Y36" s="136"/>
      <c r="Z36" s="136"/>
      <c r="AA36" s="136"/>
      <c r="AB36"/>
      <c r="AC36"/>
      <c r="AD36"/>
      <c r="AE36"/>
      <c r="AF36"/>
    </row>
    <row r="37" spans="1:32">
      <c r="A37" s="106" t="s">
        <v>104</v>
      </c>
      <c r="B37" s="106" t="s">
        <v>85</v>
      </c>
      <c r="C37" s="106" t="s">
        <v>153</v>
      </c>
      <c r="D37" s="106" t="s">
        <v>106</v>
      </c>
      <c r="E37" s="106" t="s">
        <v>87</v>
      </c>
      <c r="F37" s="106" t="s">
        <v>141</v>
      </c>
      <c r="G37" s="106" t="s">
        <v>140</v>
      </c>
      <c r="H37" s="106" t="s">
        <v>135</v>
      </c>
      <c r="I37" s="106">
        <v>-160000</v>
      </c>
      <c r="J37" s="106"/>
      <c r="K37" s="106"/>
      <c r="L37" s="106"/>
      <c r="M37" s="106"/>
      <c r="N37" s="106"/>
      <c r="O37" s="106"/>
      <c r="P37" s="106"/>
      <c r="Q37" s="106"/>
      <c r="R37" s="106"/>
      <c r="S37" s="106"/>
      <c r="T37" s="137"/>
      <c r="U37" s="137"/>
      <c r="V37" s="137">
        <v>-160000</v>
      </c>
      <c r="W37" s="137"/>
      <c r="X37" s="136"/>
      <c r="Y37" s="136"/>
      <c r="Z37" s="136"/>
      <c r="AA37" s="136"/>
      <c r="AB37"/>
      <c r="AC37"/>
      <c r="AD37"/>
      <c r="AE37"/>
      <c r="AF37"/>
    </row>
    <row r="38" spans="1:32">
      <c r="A38" s="106" t="s">
        <v>104</v>
      </c>
      <c r="B38" s="106" t="s">
        <v>86</v>
      </c>
      <c r="C38" s="106" t="s">
        <v>138</v>
      </c>
      <c r="D38" s="106" t="s">
        <v>87</v>
      </c>
      <c r="E38" s="106" t="s">
        <v>106</v>
      </c>
      <c r="F38" s="106" t="s">
        <v>104</v>
      </c>
      <c r="G38" s="106" t="s">
        <v>140</v>
      </c>
      <c r="H38" s="106" t="s">
        <v>135</v>
      </c>
      <c r="I38" s="106">
        <v>160000</v>
      </c>
      <c r="J38" s="106"/>
      <c r="K38" s="106"/>
      <c r="L38" s="106"/>
      <c r="M38" s="106"/>
      <c r="N38" s="106"/>
      <c r="O38" s="106"/>
      <c r="P38" s="106"/>
      <c r="Q38" s="106"/>
      <c r="R38" s="106"/>
      <c r="S38" s="106"/>
      <c r="T38" s="137"/>
      <c r="U38" s="137"/>
      <c r="V38" s="137">
        <v>160000</v>
      </c>
      <c r="W38" s="137"/>
      <c r="X38" s="136"/>
      <c r="Y38" s="136"/>
      <c r="Z38" s="136"/>
      <c r="AA38" s="136"/>
      <c r="AB38"/>
      <c r="AC38"/>
      <c r="AD38"/>
      <c r="AE38"/>
      <c r="AF38"/>
    </row>
    <row r="39" spans="1:32">
      <c r="A39" s="106" t="s">
        <v>104</v>
      </c>
      <c r="B39" s="106" t="s">
        <v>86</v>
      </c>
      <c r="C39" s="106" t="s">
        <v>143</v>
      </c>
      <c r="D39" s="106" t="s">
        <v>87</v>
      </c>
      <c r="E39" s="106" t="s">
        <v>106</v>
      </c>
      <c r="F39" s="106" t="s">
        <v>104</v>
      </c>
      <c r="G39" s="106" t="s">
        <v>145</v>
      </c>
      <c r="H39" s="106" t="s">
        <v>135</v>
      </c>
      <c r="I39" s="106">
        <v>17000</v>
      </c>
      <c r="J39" s="106"/>
      <c r="K39" s="106"/>
      <c r="L39" s="106"/>
      <c r="M39" s="106"/>
      <c r="N39" s="106"/>
      <c r="O39" s="106"/>
      <c r="P39" s="106"/>
      <c r="Q39" s="106"/>
      <c r="R39" s="106">
        <v>17000</v>
      </c>
      <c r="S39" s="106"/>
      <c r="T39" s="137"/>
      <c r="U39" s="137"/>
      <c r="V39" s="137"/>
      <c r="W39" s="137"/>
      <c r="X39" s="136"/>
      <c r="Y39" s="136"/>
      <c r="Z39" s="136"/>
      <c r="AA39" s="136"/>
      <c r="AB39"/>
      <c r="AC39"/>
      <c r="AD39"/>
      <c r="AE39"/>
      <c r="AF39"/>
    </row>
    <row r="40" spans="1:32">
      <c r="A40" s="106" t="s">
        <v>104</v>
      </c>
      <c r="B40" s="106" t="s">
        <v>99</v>
      </c>
      <c r="C40" s="106" t="s">
        <v>110</v>
      </c>
      <c r="D40" s="106" t="s">
        <v>106</v>
      </c>
      <c r="E40" s="106" t="s">
        <v>103</v>
      </c>
      <c r="F40" s="106" t="s">
        <v>104</v>
      </c>
      <c r="G40" s="106"/>
      <c r="H40" s="106" t="s">
        <v>124</v>
      </c>
      <c r="I40" s="106">
        <v>-302770</v>
      </c>
      <c r="J40" s="106"/>
      <c r="K40" s="106"/>
      <c r="L40" s="106"/>
      <c r="M40" s="106"/>
      <c r="N40" s="106"/>
      <c r="O40" s="106"/>
      <c r="P40" s="106"/>
      <c r="Q40" s="106"/>
      <c r="R40" s="106">
        <v>-302770</v>
      </c>
      <c r="S40" s="106"/>
      <c r="T40" s="136"/>
      <c r="U40" s="138"/>
      <c r="V40" s="136"/>
      <c r="W40" s="137"/>
      <c r="X40" s="137"/>
      <c r="Y40" s="137"/>
      <c r="Z40" s="137"/>
      <c r="AA40" s="136"/>
      <c r="AE40"/>
      <c r="AF40"/>
    </row>
    <row r="41" spans="1:32">
      <c r="A41" s="106" t="s">
        <v>141</v>
      </c>
      <c r="B41" s="106" t="s">
        <v>85</v>
      </c>
      <c r="C41" s="106" t="s">
        <v>154</v>
      </c>
      <c r="D41" s="106" t="s">
        <v>106</v>
      </c>
      <c r="E41" s="106" t="s">
        <v>87</v>
      </c>
      <c r="F41" s="106" t="s">
        <v>155</v>
      </c>
      <c r="G41" s="106" t="s">
        <v>152</v>
      </c>
      <c r="H41" s="106" t="s">
        <v>135</v>
      </c>
      <c r="I41" s="106">
        <v>-590807.46</v>
      </c>
      <c r="J41" s="106"/>
      <c r="K41" s="106"/>
      <c r="L41" s="106"/>
      <c r="M41" s="106"/>
      <c r="N41" s="106"/>
      <c r="O41" s="106"/>
      <c r="P41" s="106"/>
      <c r="Q41" s="106">
        <v>-23217</v>
      </c>
      <c r="R41" s="106">
        <v>-482536.45</v>
      </c>
      <c r="S41" s="106"/>
      <c r="T41" s="137"/>
      <c r="U41" s="137"/>
      <c r="V41" s="137">
        <v>-85054.01</v>
      </c>
      <c r="W41" s="137"/>
      <c r="X41" s="136"/>
      <c r="Y41" s="136"/>
      <c r="Z41" s="136"/>
      <c r="AA41" s="136"/>
      <c r="AB41"/>
      <c r="AC41"/>
      <c r="AD41"/>
      <c r="AE41"/>
      <c r="AF41"/>
    </row>
    <row r="42" spans="1:32">
      <c r="A42" s="106" t="s">
        <v>141</v>
      </c>
      <c r="B42" s="106" t="s">
        <v>86</v>
      </c>
      <c r="C42" s="106" t="s">
        <v>138</v>
      </c>
      <c r="D42" s="106" t="s">
        <v>87</v>
      </c>
      <c r="E42" s="106" t="s">
        <v>106</v>
      </c>
      <c r="F42" s="106" t="s">
        <v>141</v>
      </c>
      <c r="G42" s="106" t="s">
        <v>139</v>
      </c>
      <c r="H42" s="106" t="s">
        <v>135</v>
      </c>
      <c r="I42" s="106">
        <v>101268</v>
      </c>
      <c r="J42" s="106"/>
      <c r="K42" s="106"/>
      <c r="L42" s="106"/>
      <c r="M42" s="106"/>
      <c r="N42" s="106"/>
      <c r="O42" s="106"/>
      <c r="P42" s="106"/>
      <c r="Q42" s="106"/>
      <c r="R42" s="106"/>
      <c r="S42" s="106"/>
      <c r="T42" s="136"/>
      <c r="U42" s="138"/>
      <c r="V42" s="136">
        <v>101268</v>
      </c>
      <c r="W42" s="137"/>
      <c r="X42" s="137"/>
      <c r="Y42" s="137"/>
      <c r="Z42" s="137"/>
      <c r="AA42" s="136"/>
      <c r="AE42"/>
      <c r="AF42"/>
    </row>
    <row r="43" spans="1:32">
      <c r="A43" s="107" t="s">
        <v>141</v>
      </c>
      <c r="B43" s="107" t="s">
        <v>86</v>
      </c>
      <c r="C43" s="107" t="s">
        <v>143</v>
      </c>
      <c r="D43" s="107" t="s">
        <v>87</v>
      </c>
      <c r="E43" s="107" t="s">
        <v>106</v>
      </c>
      <c r="F43" s="107" t="s">
        <v>141</v>
      </c>
      <c r="G43" s="107" t="s">
        <v>144</v>
      </c>
      <c r="H43" s="107" t="s">
        <v>135</v>
      </c>
      <c r="I43" s="107">
        <v>10000</v>
      </c>
      <c r="J43" s="107"/>
      <c r="K43" s="107"/>
      <c r="L43" s="107"/>
      <c r="M43" s="107"/>
      <c r="N43" s="107"/>
      <c r="O43" s="107"/>
      <c r="P43" s="107"/>
      <c r="Q43" s="107">
        <v>10000</v>
      </c>
      <c r="R43" s="107"/>
      <c r="S43" s="107"/>
      <c r="T43" s="137"/>
      <c r="U43" s="137"/>
      <c r="V43" s="137"/>
      <c r="W43" s="137"/>
      <c r="X43" s="136"/>
      <c r="Y43" s="136"/>
      <c r="Z43" s="136"/>
      <c r="AA43" s="136"/>
      <c r="AB43"/>
      <c r="AC43"/>
      <c r="AD43"/>
      <c r="AE43"/>
      <c r="AF43"/>
    </row>
    <row r="44" spans="1:32">
      <c r="A44" s="107" t="s">
        <v>141</v>
      </c>
      <c r="B44" s="107" t="s">
        <v>86</v>
      </c>
      <c r="C44" s="107" t="s">
        <v>143</v>
      </c>
      <c r="D44" s="107" t="s">
        <v>87</v>
      </c>
      <c r="E44" s="107" t="s">
        <v>106</v>
      </c>
      <c r="F44" s="107" t="s">
        <v>141</v>
      </c>
      <c r="G44" s="107" t="s">
        <v>145</v>
      </c>
      <c r="H44" s="107" t="s">
        <v>135</v>
      </c>
      <c r="I44" s="107">
        <v>57612.45</v>
      </c>
      <c r="J44" s="107"/>
      <c r="K44" s="107"/>
      <c r="L44" s="107"/>
      <c r="M44" s="107"/>
      <c r="N44" s="107"/>
      <c r="O44" s="107"/>
      <c r="P44" s="107"/>
      <c r="Q44" s="107"/>
      <c r="R44" s="107">
        <v>57612.45</v>
      </c>
      <c r="S44" s="107"/>
      <c r="T44" s="137"/>
      <c r="U44" s="137"/>
      <c r="V44" s="137"/>
      <c r="W44" s="137"/>
      <c r="X44" s="136"/>
      <c r="Y44" s="136"/>
      <c r="Z44" s="136"/>
      <c r="AA44" s="136"/>
      <c r="AB44"/>
      <c r="AC44"/>
      <c r="AD44"/>
      <c r="AE44"/>
      <c r="AF44"/>
    </row>
    <row r="45" spans="1:32">
      <c r="A45" s="107" t="s">
        <v>141</v>
      </c>
      <c r="B45" s="107" t="s">
        <v>86</v>
      </c>
      <c r="C45" s="107" t="s">
        <v>151</v>
      </c>
      <c r="D45" s="107" t="s">
        <v>87</v>
      </c>
      <c r="E45" s="107" t="s">
        <v>106</v>
      </c>
      <c r="F45" s="107" t="s">
        <v>141</v>
      </c>
      <c r="G45" s="107" t="s">
        <v>152</v>
      </c>
      <c r="H45" s="107" t="s">
        <v>135</v>
      </c>
      <c r="I45" s="107">
        <v>12000.01</v>
      </c>
      <c r="J45" s="107"/>
      <c r="K45" s="107"/>
      <c r="L45" s="107"/>
      <c r="M45" s="107"/>
      <c r="N45" s="107"/>
      <c r="O45" s="107"/>
      <c r="P45" s="107"/>
      <c r="Q45" s="107"/>
      <c r="R45" s="107"/>
      <c r="S45" s="107"/>
      <c r="T45" s="137"/>
      <c r="U45" s="137"/>
      <c r="V45" s="137">
        <v>12000.01</v>
      </c>
      <c r="W45" s="137"/>
      <c r="X45" s="136"/>
      <c r="Y45" s="136"/>
      <c r="Z45" s="136"/>
      <c r="AA45" s="136"/>
      <c r="AB45"/>
      <c r="AC45"/>
      <c r="AD45"/>
      <c r="AE45"/>
      <c r="AF45"/>
    </row>
    <row r="46" spans="1:32">
      <c r="A46" s="107" t="s">
        <v>141</v>
      </c>
      <c r="B46" s="107" t="s">
        <v>86</v>
      </c>
      <c r="C46" s="107" t="s">
        <v>153</v>
      </c>
      <c r="D46" s="107" t="s">
        <v>87</v>
      </c>
      <c r="E46" s="107" t="s">
        <v>106</v>
      </c>
      <c r="F46" s="107" t="s">
        <v>141</v>
      </c>
      <c r="G46" s="107" t="s">
        <v>140</v>
      </c>
      <c r="H46" s="107" t="s">
        <v>135</v>
      </c>
      <c r="I46" s="107">
        <v>160000</v>
      </c>
      <c r="J46" s="107"/>
      <c r="K46" s="107"/>
      <c r="L46" s="107"/>
      <c r="M46" s="107"/>
      <c r="N46" s="107"/>
      <c r="O46" s="107"/>
      <c r="P46" s="107"/>
      <c r="Q46" s="107"/>
      <c r="R46" s="107">
        <v>160000</v>
      </c>
      <c r="S46" s="107"/>
      <c r="T46" s="137"/>
      <c r="U46" s="137"/>
      <c r="V46" s="137"/>
      <c r="W46" s="137"/>
      <c r="X46" s="136"/>
      <c r="Y46" s="136"/>
      <c r="Z46" s="136"/>
      <c r="AA46" s="136"/>
      <c r="AB46"/>
      <c r="AC46"/>
      <c r="AD46"/>
      <c r="AE46"/>
      <c r="AF46"/>
    </row>
    <row r="47" spans="1:32">
      <c r="A47" s="107" t="s">
        <v>141</v>
      </c>
      <c r="B47" s="107" t="s">
        <v>150</v>
      </c>
      <c r="C47" s="107" t="s">
        <v>147</v>
      </c>
      <c r="D47" s="107" t="s">
        <v>106</v>
      </c>
      <c r="E47" s="107" t="s">
        <v>87</v>
      </c>
      <c r="F47" s="107" t="s">
        <v>141</v>
      </c>
      <c r="G47" s="107" t="s">
        <v>148</v>
      </c>
      <c r="H47" s="107" t="s">
        <v>149</v>
      </c>
      <c r="I47" s="107">
        <v>-24629</v>
      </c>
      <c r="J47" s="107"/>
      <c r="K47" s="107"/>
      <c r="L47" s="107"/>
      <c r="M47" s="107"/>
      <c r="N47" s="107"/>
      <c r="O47" s="107"/>
      <c r="P47" s="107"/>
      <c r="Q47" s="107"/>
      <c r="R47" s="107">
        <v>-24629</v>
      </c>
      <c r="S47" s="107"/>
      <c r="T47" s="137"/>
      <c r="U47" s="137"/>
      <c r="V47" s="137"/>
      <c r="W47" s="137"/>
      <c r="X47" s="136"/>
      <c r="Y47" s="136"/>
      <c r="Z47" s="136"/>
      <c r="AA47" s="136"/>
      <c r="AB47"/>
      <c r="AC47"/>
      <c r="AD47"/>
      <c r="AE47"/>
      <c r="AF47"/>
    </row>
    <row r="48" spans="1:32">
      <c r="A48" s="107" t="s">
        <v>155</v>
      </c>
      <c r="B48" s="107" t="s">
        <v>85</v>
      </c>
      <c r="C48" s="107" t="s">
        <v>174</v>
      </c>
      <c r="D48" s="107" t="s">
        <v>106</v>
      </c>
      <c r="E48" s="107" t="s">
        <v>87</v>
      </c>
      <c r="F48" s="107" t="s">
        <v>177</v>
      </c>
      <c r="G48" s="107" t="s">
        <v>175</v>
      </c>
      <c r="H48" s="107" t="s">
        <v>135</v>
      </c>
      <c r="I48" s="107">
        <v>-879336.34</v>
      </c>
      <c r="J48" s="107"/>
      <c r="K48" s="107"/>
      <c r="L48" s="107"/>
      <c r="M48" s="107"/>
      <c r="N48" s="107"/>
      <c r="O48" s="107"/>
      <c r="P48" s="107"/>
      <c r="Q48" s="107">
        <v>-35000</v>
      </c>
      <c r="R48" s="107"/>
      <c r="S48" s="107"/>
      <c r="T48" s="136">
        <v>-844336.34</v>
      </c>
      <c r="U48" s="138"/>
      <c r="V48" s="136"/>
      <c r="W48" s="137"/>
      <c r="X48" s="137"/>
      <c r="Y48" s="137"/>
      <c r="Z48" s="137"/>
      <c r="AA48" s="136"/>
      <c r="AE48"/>
      <c r="AF48"/>
    </row>
    <row r="49" spans="1:32">
      <c r="A49" s="136" t="s">
        <v>155</v>
      </c>
      <c r="B49" s="136" t="s">
        <v>85</v>
      </c>
      <c r="C49" s="136" t="s">
        <v>176</v>
      </c>
      <c r="D49" s="136" t="s">
        <v>106</v>
      </c>
      <c r="E49" s="136" t="s">
        <v>87</v>
      </c>
      <c r="F49" s="136" t="s">
        <v>177</v>
      </c>
      <c r="G49" s="136" t="s">
        <v>192</v>
      </c>
      <c r="H49" s="136" t="s">
        <v>135</v>
      </c>
      <c r="I49" s="136">
        <v>-116240</v>
      </c>
      <c r="J49" s="136"/>
      <c r="K49" s="136"/>
      <c r="L49" s="136"/>
      <c r="M49" s="136"/>
      <c r="N49" s="136"/>
      <c r="O49" s="136"/>
      <c r="P49" s="136"/>
      <c r="Q49" s="136"/>
      <c r="R49" s="136"/>
      <c r="S49" s="136"/>
      <c r="T49" s="137"/>
      <c r="U49" s="137">
        <v>-116240</v>
      </c>
      <c r="V49" s="137"/>
      <c r="W49" s="137"/>
      <c r="X49" s="136"/>
      <c r="Y49" s="136"/>
      <c r="Z49" s="136"/>
      <c r="AA49" s="136"/>
      <c r="AB49"/>
      <c r="AC49"/>
      <c r="AD49"/>
      <c r="AE49"/>
      <c r="AF49"/>
    </row>
    <row r="50" spans="1:32">
      <c r="A50" s="136" t="s">
        <v>155</v>
      </c>
      <c r="B50" s="136" t="s">
        <v>86</v>
      </c>
      <c r="C50" s="136" t="s">
        <v>154</v>
      </c>
      <c r="D50" s="136" t="s">
        <v>87</v>
      </c>
      <c r="E50" s="136" t="s">
        <v>106</v>
      </c>
      <c r="F50" s="136" t="s">
        <v>155</v>
      </c>
      <c r="G50" s="136" t="s">
        <v>152</v>
      </c>
      <c r="H50" s="136" t="s">
        <v>135</v>
      </c>
      <c r="I50" s="136">
        <v>590807.46</v>
      </c>
      <c r="J50" s="136"/>
      <c r="K50" s="136"/>
      <c r="L50" s="136"/>
      <c r="M50" s="136"/>
      <c r="N50" s="136"/>
      <c r="O50" s="136"/>
      <c r="P50" s="136"/>
      <c r="Q50" s="136">
        <v>23217</v>
      </c>
      <c r="R50" s="136">
        <v>482536.45</v>
      </c>
      <c r="S50" s="136"/>
      <c r="T50" s="137"/>
      <c r="U50" s="137"/>
      <c r="V50" s="137">
        <v>85054.01</v>
      </c>
      <c r="W50" s="137"/>
      <c r="X50" s="136"/>
      <c r="Y50" s="136"/>
      <c r="Z50" s="136"/>
      <c r="AA50" s="136"/>
      <c r="AB50"/>
      <c r="AC50"/>
      <c r="AD50"/>
      <c r="AE50"/>
      <c r="AF50"/>
    </row>
    <row r="51" spans="1:32">
      <c r="A51" s="136" t="s">
        <v>177</v>
      </c>
      <c r="B51" s="136" t="s">
        <v>85</v>
      </c>
      <c r="C51" s="136" t="s">
        <v>197</v>
      </c>
      <c r="D51" s="136" t="s">
        <v>106</v>
      </c>
      <c r="E51" s="136" t="s">
        <v>87</v>
      </c>
      <c r="F51" s="136" t="s">
        <v>198</v>
      </c>
      <c r="G51" s="136" t="s">
        <v>199</v>
      </c>
      <c r="H51" s="136" t="s">
        <v>200</v>
      </c>
      <c r="I51" s="136">
        <v>-211382.58</v>
      </c>
      <c r="J51" s="136"/>
      <c r="K51" s="136"/>
      <c r="L51" s="136"/>
      <c r="M51" s="136"/>
      <c r="N51" s="136"/>
      <c r="O51" s="136"/>
      <c r="P51" s="136"/>
      <c r="Q51" s="136"/>
      <c r="R51" s="136"/>
      <c r="S51" s="136"/>
      <c r="T51" s="137"/>
      <c r="U51" s="137">
        <v>-211382.58</v>
      </c>
      <c r="V51" s="137"/>
      <c r="W51" s="137"/>
      <c r="X51" s="136"/>
      <c r="Y51" s="136"/>
      <c r="Z51" s="136"/>
      <c r="AA51" s="136"/>
      <c r="AB51"/>
      <c r="AC51"/>
      <c r="AD51"/>
      <c r="AE51"/>
      <c r="AF51"/>
    </row>
    <row r="52" spans="1:32">
      <c r="A52" s="136" t="s">
        <v>177</v>
      </c>
      <c r="B52" s="136" t="s">
        <v>85</v>
      </c>
      <c r="C52" s="136" t="s">
        <v>197</v>
      </c>
      <c r="D52" s="136" t="s">
        <v>106</v>
      </c>
      <c r="E52" s="136" t="s">
        <v>87</v>
      </c>
      <c r="F52" s="136" t="s">
        <v>198</v>
      </c>
      <c r="G52" s="136" t="s">
        <v>175</v>
      </c>
      <c r="H52" s="136" t="s">
        <v>200</v>
      </c>
      <c r="I52" s="136">
        <v>-883371.34</v>
      </c>
      <c r="J52" s="136"/>
      <c r="K52" s="136"/>
      <c r="L52" s="136"/>
      <c r="M52" s="136"/>
      <c r="N52" s="136"/>
      <c r="O52" s="136"/>
      <c r="P52" s="136"/>
      <c r="Q52" s="136"/>
      <c r="R52" s="136"/>
      <c r="S52" s="136"/>
      <c r="T52" s="136">
        <v>-883371.34</v>
      </c>
      <c r="U52" s="138"/>
      <c r="V52" s="136"/>
      <c r="W52" s="137"/>
      <c r="X52" s="137"/>
      <c r="Y52" s="137"/>
      <c r="Z52" s="137"/>
      <c r="AA52" s="136"/>
      <c r="AE52"/>
      <c r="AF52"/>
    </row>
    <row r="53" spans="1:32">
      <c r="A53" s="16" t="s">
        <v>177</v>
      </c>
      <c r="B53" s="16" t="s">
        <v>85</v>
      </c>
      <c r="C53" s="16" t="s">
        <v>197</v>
      </c>
      <c r="D53" s="16" t="s">
        <v>106</v>
      </c>
      <c r="E53" s="16" t="s">
        <v>87</v>
      </c>
      <c r="F53" s="16" t="s">
        <v>198</v>
      </c>
      <c r="G53" s="16" t="s">
        <v>201</v>
      </c>
      <c r="H53" s="16" t="s">
        <v>200</v>
      </c>
      <c r="I53" s="16">
        <v>-2929.56</v>
      </c>
      <c r="N53" s="16">
        <v>-2929.56</v>
      </c>
      <c r="AE53"/>
      <c r="AF53"/>
    </row>
    <row r="54" spans="1:32">
      <c r="A54" s="16" t="s">
        <v>177</v>
      </c>
      <c r="B54" s="16" t="s">
        <v>86</v>
      </c>
      <c r="C54" s="16" t="s">
        <v>174</v>
      </c>
      <c r="D54" s="16" t="s">
        <v>87</v>
      </c>
      <c r="E54" s="16" t="s">
        <v>106</v>
      </c>
      <c r="F54" s="16" t="s">
        <v>177</v>
      </c>
      <c r="G54" s="16" t="s">
        <v>175</v>
      </c>
      <c r="H54" s="16" t="s">
        <v>135</v>
      </c>
      <c r="I54" s="16">
        <v>879336.34</v>
      </c>
      <c r="Q54" s="16">
        <v>35000</v>
      </c>
      <c r="T54" s="16">
        <v>844336.34</v>
      </c>
      <c r="AE54"/>
      <c r="AF54"/>
    </row>
    <row r="55" spans="1:32">
      <c r="A55" s="16" t="s">
        <v>177</v>
      </c>
      <c r="B55" s="16" t="s">
        <v>86</v>
      </c>
      <c r="C55" s="16" t="s">
        <v>176</v>
      </c>
      <c r="D55" s="16" t="s">
        <v>87</v>
      </c>
      <c r="E55" s="16" t="s">
        <v>106</v>
      </c>
      <c r="F55" s="16" t="s">
        <v>177</v>
      </c>
      <c r="G55" s="16" t="s">
        <v>192</v>
      </c>
      <c r="H55" s="16" t="s">
        <v>135</v>
      </c>
      <c r="I55" s="16">
        <v>116240</v>
      </c>
      <c r="U55" s="16">
        <v>116240</v>
      </c>
      <c r="AE55"/>
      <c r="AF55"/>
    </row>
    <row r="56" spans="1:32">
      <c r="A56" s="16" t="s">
        <v>198</v>
      </c>
      <c r="B56" s="16" t="s">
        <v>85</v>
      </c>
      <c r="C56" s="16" t="s">
        <v>207</v>
      </c>
      <c r="D56" s="16" t="s">
        <v>106</v>
      </c>
      <c r="E56" s="16" t="s">
        <v>87</v>
      </c>
      <c r="F56" s="16" t="s">
        <v>202</v>
      </c>
      <c r="G56" s="16" t="s">
        <v>208</v>
      </c>
      <c r="H56" s="16" t="s">
        <v>209</v>
      </c>
      <c r="I56" s="16">
        <v>-336703.92</v>
      </c>
      <c r="U56" s="16">
        <v>-336703.92</v>
      </c>
      <c r="AE56"/>
      <c r="AF56"/>
    </row>
    <row r="57" spans="1:32">
      <c r="A57" s="16" t="s">
        <v>198</v>
      </c>
      <c r="B57" s="16" t="s">
        <v>85</v>
      </c>
      <c r="C57" s="16" t="s">
        <v>207</v>
      </c>
      <c r="D57" s="16" t="s">
        <v>106</v>
      </c>
      <c r="E57" s="16" t="s">
        <v>87</v>
      </c>
      <c r="F57" s="16" t="s">
        <v>202</v>
      </c>
      <c r="G57" s="16" t="s">
        <v>175</v>
      </c>
      <c r="H57" s="16" t="s">
        <v>210</v>
      </c>
      <c r="I57" s="16">
        <v>-288529.21999999997</v>
      </c>
      <c r="T57" s="16">
        <v>-288529.21999999997</v>
      </c>
      <c r="AE57"/>
      <c r="AF57"/>
    </row>
    <row r="58" spans="1:32">
      <c r="A58" s="16" t="s">
        <v>198</v>
      </c>
      <c r="B58" s="16" t="s">
        <v>86</v>
      </c>
      <c r="C58" s="16" t="s">
        <v>197</v>
      </c>
      <c r="D58" s="16" t="s">
        <v>87</v>
      </c>
      <c r="E58" s="16" t="s">
        <v>106</v>
      </c>
      <c r="F58" s="16" t="s">
        <v>198</v>
      </c>
      <c r="G58" s="16" t="s">
        <v>199</v>
      </c>
      <c r="H58" s="16" t="s">
        <v>200</v>
      </c>
      <c r="I58" s="16">
        <v>211382.58</v>
      </c>
      <c r="U58" s="16">
        <v>211382.58</v>
      </c>
      <c r="AE58"/>
      <c r="AF58"/>
    </row>
    <row r="59" spans="1:32">
      <c r="A59" s="16" t="s">
        <v>198</v>
      </c>
      <c r="B59" s="16" t="s">
        <v>86</v>
      </c>
      <c r="C59" s="16" t="s">
        <v>197</v>
      </c>
      <c r="D59" s="16" t="s">
        <v>87</v>
      </c>
      <c r="E59" s="16" t="s">
        <v>106</v>
      </c>
      <c r="F59" s="16" t="s">
        <v>198</v>
      </c>
      <c r="G59" s="16" t="s">
        <v>201</v>
      </c>
      <c r="H59" s="16" t="s">
        <v>200</v>
      </c>
      <c r="I59" s="16">
        <v>2929.56</v>
      </c>
      <c r="N59" s="16">
        <v>2929.56</v>
      </c>
      <c r="AE59"/>
      <c r="AF59"/>
    </row>
    <row r="60" spans="1:32">
      <c r="A60" s="16" t="s">
        <v>202</v>
      </c>
      <c r="B60" s="16" t="s">
        <v>85</v>
      </c>
      <c r="C60" s="16" t="s">
        <v>223</v>
      </c>
      <c r="D60" s="16" t="s">
        <v>106</v>
      </c>
      <c r="E60" s="16" t="s">
        <v>87</v>
      </c>
      <c r="F60" s="16" t="s">
        <v>224</v>
      </c>
      <c r="G60" s="16" t="s">
        <v>199</v>
      </c>
      <c r="H60" s="16" t="s">
        <v>209</v>
      </c>
      <c r="I60" s="16">
        <v>-458421.35</v>
      </c>
      <c r="U60" s="16">
        <v>-458421.35</v>
      </c>
      <c r="AE60"/>
      <c r="AF60"/>
    </row>
    <row r="61" spans="1:32">
      <c r="A61" s="16" t="s">
        <v>202</v>
      </c>
      <c r="B61" s="16" t="s">
        <v>85</v>
      </c>
      <c r="C61" s="16" t="s">
        <v>223</v>
      </c>
      <c r="D61" s="16" t="s">
        <v>106</v>
      </c>
      <c r="E61" s="16" t="s">
        <v>87</v>
      </c>
      <c r="F61" s="16" t="s">
        <v>224</v>
      </c>
      <c r="G61" s="16" t="s">
        <v>225</v>
      </c>
      <c r="H61" s="16" t="s">
        <v>210</v>
      </c>
      <c r="I61" s="16">
        <v>-1468034.9</v>
      </c>
      <c r="T61" s="16">
        <v>-1468034.9</v>
      </c>
      <c r="AE61"/>
      <c r="AF61"/>
    </row>
    <row r="62" spans="1:32">
      <c r="A62" s="16" t="s">
        <v>202</v>
      </c>
      <c r="B62" s="16" t="s">
        <v>86</v>
      </c>
      <c r="C62" s="16" t="s">
        <v>207</v>
      </c>
      <c r="D62" s="16" t="s">
        <v>87</v>
      </c>
      <c r="E62" s="16" t="s">
        <v>106</v>
      </c>
      <c r="F62" s="16" t="s">
        <v>202</v>
      </c>
      <c r="G62" s="16" t="s">
        <v>208</v>
      </c>
      <c r="H62" s="16" t="s">
        <v>209</v>
      </c>
      <c r="I62" s="16">
        <v>336703.92</v>
      </c>
      <c r="U62" s="16">
        <v>336703.92</v>
      </c>
      <c r="AE62"/>
      <c r="AF62"/>
    </row>
    <row r="63" spans="1:32">
      <c r="A63" s="16" t="s">
        <v>202</v>
      </c>
      <c r="B63" s="16" t="s">
        <v>86</v>
      </c>
      <c r="C63" s="16" t="s">
        <v>207</v>
      </c>
      <c r="D63" s="16" t="s">
        <v>87</v>
      </c>
      <c r="E63" s="16" t="s">
        <v>106</v>
      </c>
      <c r="F63" s="16" t="s">
        <v>202</v>
      </c>
      <c r="G63" s="16" t="s">
        <v>175</v>
      </c>
      <c r="H63" s="16" t="s">
        <v>210</v>
      </c>
      <c r="I63" s="16">
        <v>288529.21999999997</v>
      </c>
      <c r="T63" s="16">
        <v>288529.21999999997</v>
      </c>
      <c r="AE63"/>
      <c r="AF63"/>
    </row>
    <row r="64" spans="1:32">
      <c r="A64" s="16" t="s">
        <v>202</v>
      </c>
      <c r="B64" s="16" t="s">
        <v>86</v>
      </c>
      <c r="C64" s="16" t="s">
        <v>197</v>
      </c>
      <c r="D64" s="16" t="s">
        <v>87</v>
      </c>
      <c r="E64" s="16" t="s">
        <v>106</v>
      </c>
      <c r="F64" s="16" t="s">
        <v>198</v>
      </c>
      <c r="G64" s="16" t="s">
        <v>175</v>
      </c>
      <c r="H64" s="16" t="s">
        <v>200</v>
      </c>
      <c r="I64" s="16">
        <v>883371.34</v>
      </c>
      <c r="T64" s="16">
        <v>883371.34</v>
      </c>
      <c r="AE64"/>
      <c r="AF64"/>
    </row>
    <row r="65" spans="1:32">
      <c r="A65" s="16" t="s">
        <v>224</v>
      </c>
      <c r="B65" s="16" t="s">
        <v>86</v>
      </c>
      <c r="C65" s="16" t="s">
        <v>223</v>
      </c>
      <c r="D65" s="16" t="s">
        <v>87</v>
      </c>
      <c r="E65" s="16" t="s">
        <v>106</v>
      </c>
      <c r="F65" s="16" t="s">
        <v>224</v>
      </c>
      <c r="G65" s="16" t="s">
        <v>199</v>
      </c>
      <c r="H65" s="16" t="s">
        <v>209</v>
      </c>
      <c r="I65" s="16">
        <v>458421.35</v>
      </c>
      <c r="U65" s="16">
        <v>458421.35</v>
      </c>
      <c r="AE65"/>
      <c r="AF65"/>
    </row>
    <row r="66" spans="1:32">
      <c r="A66" s="16" t="s">
        <v>224</v>
      </c>
      <c r="B66" s="16" t="s">
        <v>86</v>
      </c>
      <c r="C66" s="16" t="s">
        <v>223</v>
      </c>
      <c r="D66" s="16" t="s">
        <v>87</v>
      </c>
      <c r="E66" s="16" t="s">
        <v>106</v>
      </c>
      <c r="F66" s="16" t="s">
        <v>224</v>
      </c>
      <c r="G66" s="16" t="s">
        <v>225</v>
      </c>
      <c r="H66" s="16" t="s">
        <v>210</v>
      </c>
      <c r="I66" s="16">
        <v>1468034.9</v>
      </c>
      <c r="T66" s="16">
        <v>1468034.9</v>
      </c>
      <c r="AE66"/>
      <c r="AF66"/>
    </row>
    <row r="67" spans="1:32" ht="15.6">
      <c r="A67" s="217" t="s">
        <v>76</v>
      </c>
      <c r="B67" s="217"/>
      <c r="C67" s="217"/>
      <c r="D67" s="217"/>
      <c r="E67" s="217"/>
      <c r="F67" s="217"/>
      <c r="G67" s="217"/>
      <c r="Y67" s="54"/>
      <c r="Z67" s="54"/>
      <c r="AA67" s="54"/>
      <c r="AB67" s="54"/>
    </row>
    <row r="69" spans="1:32">
      <c r="A69" s="54" t="s">
        <v>42</v>
      </c>
      <c r="B69" s="54" t="s">
        <v>43</v>
      </c>
      <c r="C69" s="54" t="s">
        <v>13</v>
      </c>
      <c r="D69" s="54" t="s">
        <v>81</v>
      </c>
      <c r="E69" s="54" t="s">
        <v>82</v>
      </c>
      <c r="F69" s="54" t="s">
        <v>44</v>
      </c>
      <c r="G69" s="54" t="s">
        <v>83</v>
      </c>
      <c r="H69" s="54" t="s">
        <v>84</v>
      </c>
      <c r="I69" s="54" t="s">
        <v>10</v>
      </c>
      <c r="J69" s="54" t="s">
        <v>178</v>
      </c>
      <c r="K69" s="54" t="s">
        <v>179</v>
      </c>
      <c r="L69" s="54" t="s">
        <v>131</v>
      </c>
      <c r="M69" s="54" t="s">
        <v>4</v>
      </c>
      <c r="N69" s="54" t="s">
        <v>127</v>
      </c>
      <c r="O69" s="54" t="s">
        <v>180</v>
      </c>
      <c r="P69" s="54" t="s">
        <v>5</v>
      </c>
      <c r="Q69" s="54" t="s">
        <v>96</v>
      </c>
      <c r="R69" s="54" t="s">
        <v>100</v>
      </c>
      <c r="S69" s="54" t="s">
        <v>181</v>
      </c>
      <c r="T69" s="137" t="s">
        <v>182</v>
      </c>
      <c r="U69" s="137" t="s">
        <v>183</v>
      </c>
      <c r="V69" s="137" t="s">
        <v>184</v>
      </c>
      <c r="W69" s="136" t="s">
        <v>185</v>
      </c>
      <c r="X69" s="136" t="s">
        <v>186</v>
      </c>
      <c r="Y69" s="136" t="s">
        <v>187</v>
      </c>
      <c r="Z69" s="136" t="s">
        <v>128</v>
      </c>
      <c r="AA69" s="136" t="s">
        <v>129</v>
      </c>
      <c r="AE69"/>
      <c r="AF69"/>
    </row>
    <row r="70" spans="1:32">
      <c r="A70" s="22" t="s">
        <v>88</v>
      </c>
      <c r="B70" s="22" t="s">
        <v>93</v>
      </c>
      <c r="C70" s="22" t="s">
        <v>105</v>
      </c>
      <c r="D70" s="22" t="s">
        <v>106</v>
      </c>
      <c r="E70" s="22" t="s">
        <v>87</v>
      </c>
      <c r="F70" s="22" t="s">
        <v>88</v>
      </c>
      <c r="G70" s="22"/>
      <c r="H70" s="22" t="s">
        <v>107</v>
      </c>
      <c r="I70" s="22">
        <v>-0.59</v>
      </c>
      <c r="J70" s="22"/>
      <c r="K70" s="22"/>
      <c r="L70" s="22"/>
      <c r="M70" s="22"/>
      <c r="N70" s="22">
        <v>0</v>
      </c>
      <c r="O70" s="54"/>
      <c r="P70" s="54"/>
      <c r="Q70" s="54"/>
      <c r="R70" s="54"/>
      <c r="S70" s="22"/>
      <c r="T70" s="137"/>
      <c r="U70" s="137"/>
      <c r="V70" s="137"/>
      <c r="W70" s="136"/>
      <c r="X70" s="136"/>
      <c r="Y70" s="136"/>
      <c r="Z70" s="136"/>
      <c r="AA70" s="136"/>
      <c r="AE70"/>
      <c r="AF70"/>
    </row>
    <row r="71" spans="1:32">
      <c r="A71" s="54" t="s">
        <v>88</v>
      </c>
      <c r="B71" s="54" t="s">
        <v>99</v>
      </c>
      <c r="C71" s="54" t="s">
        <v>108</v>
      </c>
      <c r="D71" s="54" t="s">
        <v>106</v>
      </c>
      <c r="E71" s="54" t="s">
        <v>103</v>
      </c>
      <c r="F71" s="54"/>
      <c r="G71" s="54"/>
      <c r="H71" s="54" t="s">
        <v>109</v>
      </c>
      <c r="I71" s="54">
        <v>-496377</v>
      </c>
      <c r="J71" s="54"/>
      <c r="K71" s="54"/>
      <c r="L71" s="54"/>
      <c r="M71" s="54">
        <v>-496377</v>
      </c>
      <c r="N71" s="54"/>
      <c r="O71" s="54"/>
      <c r="P71" s="54"/>
      <c r="Q71" s="54"/>
      <c r="R71" s="54"/>
      <c r="S71" s="22"/>
      <c r="T71" s="137"/>
      <c r="U71" s="137"/>
      <c r="V71" s="137"/>
      <c r="W71" s="136"/>
      <c r="X71" s="136"/>
      <c r="Y71" s="136"/>
      <c r="Z71" s="136"/>
      <c r="AA71" s="136"/>
      <c r="AE71"/>
      <c r="AF71"/>
    </row>
    <row r="72" spans="1:32">
      <c r="A72" s="54" t="s">
        <v>88</v>
      </c>
      <c r="B72" s="54" t="s">
        <v>99</v>
      </c>
      <c r="C72" s="54" t="s">
        <v>110</v>
      </c>
      <c r="D72" s="54" t="s">
        <v>106</v>
      </c>
      <c r="E72" s="54" t="s">
        <v>103</v>
      </c>
      <c r="F72" s="54" t="s">
        <v>89</v>
      </c>
      <c r="G72" s="54"/>
      <c r="H72" s="54" t="s">
        <v>111</v>
      </c>
      <c r="I72" s="54">
        <v>-289145</v>
      </c>
      <c r="J72" s="54"/>
      <c r="K72" s="54"/>
      <c r="L72" s="54"/>
      <c r="M72" s="54"/>
      <c r="N72" s="54"/>
      <c r="O72" s="54"/>
      <c r="P72" s="54"/>
      <c r="Q72" s="54"/>
      <c r="R72" s="54"/>
      <c r="S72" s="22"/>
      <c r="T72" s="137"/>
      <c r="U72" s="137"/>
      <c r="V72" s="137">
        <v>-289145</v>
      </c>
      <c r="W72" s="136"/>
      <c r="X72" s="136"/>
      <c r="Y72" s="136"/>
      <c r="Z72" s="136"/>
      <c r="AA72" s="136"/>
      <c r="AE72"/>
      <c r="AF72"/>
    </row>
    <row r="73" spans="1:32">
      <c r="A73" s="54" t="s">
        <v>91</v>
      </c>
      <c r="B73" s="54" t="s">
        <v>85</v>
      </c>
      <c r="C73" s="54" t="s">
        <v>112</v>
      </c>
      <c r="D73" s="54" t="s">
        <v>106</v>
      </c>
      <c r="E73" s="54" t="s">
        <v>103</v>
      </c>
      <c r="F73" s="54" t="s">
        <v>95</v>
      </c>
      <c r="G73" s="54"/>
      <c r="H73" s="54" t="s">
        <v>113</v>
      </c>
      <c r="I73" s="54">
        <v>-156743</v>
      </c>
      <c r="J73" s="54"/>
      <c r="K73" s="54"/>
      <c r="L73" s="54"/>
      <c r="M73" s="54">
        <v>-156743</v>
      </c>
      <c r="N73" s="54"/>
      <c r="O73" s="54"/>
      <c r="P73" s="54"/>
      <c r="Q73" s="54"/>
      <c r="R73" s="54"/>
      <c r="S73" s="22"/>
      <c r="T73" s="137"/>
      <c r="U73" s="137"/>
      <c r="V73" s="137"/>
      <c r="W73" s="137"/>
      <c r="X73" s="137"/>
      <c r="Y73" s="137"/>
      <c r="Z73" s="137"/>
      <c r="AA73" s="137"/>
      <c r="AB73"/>
      <c r="AC73"/>
      <c r="AD73"/>
      <c r="AE73"/>
      <c r="AF73"/>
    </row>
    <row r="74" spans="1:32">
      <c r="A74" s="54" t="s">
        <v>91</v>
      </c>
      <c r="B74" s="54" t="s">
        <v>99</v>
      </c>
      <c r="C74" s="54" t="s">
        <v>110</v>
      </c>
      <c r="D74" s="54" t="s">
        <v>106</v>
      </c>
      <c r="E74" s="54" t="s">
        <v>103</v>
      </c>
      <c r="F74" s="54" t="s">
        <v>89</v>
      </c>
      <c r="G74" s="54"/>
      <c r="H74" s="54" t="s">
        <v>114</v>
      </c>
      <c r="I74" s="54">
        <v>-289145</v>
      </c>
      <c r="J74" s="54"/>
      <c r="K74" s="54"/>
      <c r="L74" s="54"/>
      <c r="M74" s="54"/>
      <c r="N74" s="54"/>
      <c r="O74" s="54"/>
      <c r="P74" s="54"/>
      <c r="Q74" s="54"/>
      <c r="R74" s="54"/>
      <c r="S74" s="22"/>
      <c r="T74" s="137"/>
      <c r="U74" s="137"/>
      <c r="V74" s="137">
        <v>-289145</v>
      </c>
      <c r="W74" s="137"/>
      <c r="X74" s="137"/>
      <c r="Y74" s="137"/>
      <c r="Z74" s="137"/>
      <c r="AA74" s="137"/>
      <c r="AB74"/>
      <c r="AC74"/>
      <c r="AD74"/>
      <c r="AE74"/>
      <c r="AF74"/>
    </row>
    <row r="75" spans="1:32">
      <c r="A75" s="54" t="s">
        <v>90</v>
      </c>
      <c r="B75" s="54" t="s">
        <v>85</v>
      </c>
      <c r="C75" s="54" t="s">
        <v>115</v>
      </c>
      <c r="D75" s="54" t="s">
        <v>106</v>
      </c>
      <c r="E75" s="54" t="s">
        <v>87</v>
      </c>
      <c r="F75" s="54" t="s">
        <v>116</v>
      </c>
      <c r="G75" s="54"/>
      <c r="H75" s="54" t="s">
        <v>117</v>
      </c>
      <c r="I75" s="54">
        <v>-100256</v>
      </c>
      <c r="J75" s="54"/>
      <c r="K75" s="54"/>
      <c r="L75" s="54"/>
      <c r="M75" s="54">
        <v>-100256</v>
      </c>
      <c r="N75" s="54"/>
      <c r="O75" s="54"/>
      <c r="P75" s="54"/>
      <c r="Q75" s="54"/>
      <c r="R75" s="54"/>
      <c r="S75" s="22"/>
      <c r="T75" s="137"/>
      <c r="U75" s="137"/>
      <c r="V75" s="137"/>
      <c r="W75" s="137"/>
      <c r="X75" s="137"/>
      <c r="Y75" s="137"/>
      <c r="Z75" s="137"/>
      <c r="AA75" s="137"/>
      <c r="AB75"/>
      <c r="AC75"/>
      <c r="AD75"/>
      <c r="AE75"/>
      <c r="AF75"/>
    </row>
    <row r="76" spans="1:32">
      <c r="A76" s="63" t="s">
        <v>90</v>
      </c>
      <c r="B76" s="63" t="s">
        <v>99</v>
      </c>
      <c r="C76" s="63" t="s">
        <v>110</v>
      </c>
      <c r="D76" s="63" t="s">
        <v>106</v>
      </c>
      <c r="E76" s="63" t="s">
        <v>103</v>
      </c>
      <c r="F76" s="63" t="s">
        <v>89</v>
      </c>
      <c r="G76" s="63"/>
      <c r="H76" s="63" t="s">
        <v>118</v>
      </c>
      <c r="I76" s="63">
        <v>-289145</v>
      </c>
      <c r="J76" s="63"/>
      <c r="K76" s="63"/>
      <c r="L76" s="63"/>
      <c r="M76" s="63"/>
      <c r="N76" s="63"/>
      <c r="O76" s="63"/>
      <c r="P76" s="63"/>
      <c r="Q76" s="63"/>
      <c r="R76" s="63"/>
      <c r="T76" s="136"/>
      <c r="U76" s="136"/>
      <c r="V76" s="136">
        <v>-289145</v>
      </c>
      <c r="W76" s="137"/>
      <c r="X76" s="137"/>
      <c r="Y76" s="137"/>
      <c r="Z76" s="137"/>
      <c r="AA76" s="137"/>
      <c r="AB76"/>
      <c r="AC76"/>
      <c r="AD76"/>
      <c r="AE76"/>
      <c r="AF76"/>
    </row>
    <row r="77" spans="1:32">
      <c r="A77" s="75" t="s">
        <v>94</v>
      </c>
      <c r="B77" s="75" t="s">
        <v>85</v>
      </c>
      <c r="C77" s="75" t="s">
        <v>119</v>
      </c>
      <c r="D77" s="75" t="s">
        <v>106</v>
      </c>
      <c r="E77" s="75" t="s">
        <v>87</v>
      </c>
      <c r="F77" s="75" t="s">
        <v>95</v>
      </c>
      <c r="G77" s="75" t="s">
        <v>120</v>
      </c>
      <c r="H77" s="75" t="s">
        <v>117</v>
      </c>
      <c r="I77" s="75">
        <v>-534762</v>
      </c>
      <c r="J77" s="75"/>
      <c r="K77" s="75"/>
      <c r="L77" s="75"/>
      <c r="M77" s="75">
        <v>-534762</v>
      </c>
      <c r="N77" s="75"/>
      <c r="O77" s="75"/>
      <c r="P77" s="75"/>
      <c r="Q77" s="75"/>
      <c r="R77" s="75"/>
      <c r="T77" s="136"/>
      <c r="U77" s="136"/>
      <c r="V77" s="136"/>
      <c r="W77" s="137"/>
      <c r="X77" s="137"/>
      <c r="Y77" s="137"/>
      <c r="Z77" s="137"/>
      <c r="AA77" s="137"/>
      <c r="AB77"/>
      <c r="AC77"/>
      <c r="AD77"/>
      <c r="AE77"/>
      <c r="AF77"/>
    </row>
    <row r="78" spans="1:32">
      <c r="A78" s="75" t="s">
        <v>94</v>
      </c>
      <c r="B78" s="75" t="s">
        <v>86</v>
      </c>
      <c r="C78" s="75" t="s">
        <v>115</v>
      </c>
      <c r="D78" s="75" t="s">
        <v>87</v>
      </c>
      <c r="E78" s="75" t="s">
        <v>106</v>
      </c>
      <c r="F78" s="75" t="s">
        <v>94</v>
      </c>
      <c r="G78" s="75"/>
      <c r="H78" s="75" t="s">
        <v>117</v>
      </c>
      <c r="I78" s="75">
        <v>85256</v>
      </c>
      <c r="J78" s="75"/>
      <c r="K78" s="75"/>
      <c r="L78" s="75"/>
      <c r="M78" s="75">
        <v>85256</v>
      </c>
      <c r="N78" s="75"/>
      <c r="O78" s="75"/>
      <c r="P78" s="75"/>
      <c r="Q78" s="75"/>
      <c r="R78" s="75"/>
      <c r="T78" s="136"/>
      <c r="U78" s="136"/>
      <c r="V78" s="136"/>
      <c r="W78" s="137"/>
      <c r="X78" s="137"/>
      <c r="Y78" s="137"/>
      <c r="Z78" s="137"/>
      <c r="AA78" s="137"/>
      <c r="AB78"/>
      <c r="AC78"/>
      <c r="AD78"/>
      <c r="AE78"/>
      <c r="AF78"/>
    </row>
    <row r="79" spans="1:32">
      <c r="A79" s="82" t="s">
        <v>94</v>
      </c>
      <c r="B79" s="82" t="s">
        <v>99</v>
      </c>
      <c r="C79" s="82" t="s">
        <v>110</v>
      </c>
      <c r="D79" s="82" t="s">
        <v>106</v>
      </c>
      <c r="E79" s="82" t="s">
        <v>103</v>
      </c>
      <c r="F79" s="82" t="s">
        <v>89</v>
      </c>
      <c r="G79" s="82"/>
      <c r="H79" s="82" t="s">
        <v>121</v>
      </c>
      <c r="I79" s="82">
        <v>-289145</v>
      </c>
      <c r="J79" s="82"/>
      <c r="K79" s="82"/>
      <c r="L79" s="82"/>
      <c r="M79" s="82"/>
      <c r="N79" s="82"/>
      <c r="O79" s="82"/>
      <c r="P79" s="82"/>
      <c r="Q79" s="82"/>
      <c r="R79" s="82"/>
      <c r="T79" s="136"/>
      <c r="U79" s="136"/>
      <c r="V79" s="136">
        <v>-289145</v>
      </c>
      <c r="W79" s="137"/>
      <c r="X79" s="137"/>
      <c r="Y79" s="137"/>
      <c r="Z79" s="137"/>
      <c r="AA79" s="137"/>
      <c r="AB79"/>
      <c r="AC79"/>
      <c r="AD79"/>
      <c r="AE79"/>
      <c r="AF79"/>
    </row>
    <row r="80" spans="1:32">
      <c r="A80" s="82" t="s">
        <v>95</v>
      </c>
      <c r="B80" s="82" t="s">
        <v>85</v>
      </c>
      <c r="C80" s="82" t="s">
        <v>136</v>
      </c>
      <c r="D80" s="82" t="s">
        <v>106</v>
      </c>
      <c r="E80" s="82" t="s">
        <v>87</v>
      </c>
      <c r="F80" s="82" t="s">
        <v>89</v>
      </c>
      <c r="G80" s="82" t="s">
        <v>137</v>
      </c>
      <c r="H80" s="82" t="s">
        <v>135</v>
      </c>
      <c r="I80" s="82">
        <v>-50000</v>
      </c>
      <c r="J80" s="82"/>
      <c r="K80" s="82"/>
      <c r="L80" s="82"/>
      <c r="M80" s="82">
        <v>-50000</v>
      </c>
      <c r="N80" s="82"/>
      <c r="O80" s="82"/>
      <c r="P80" s="82"/>
      <c r="Q80" s="82"/>
      <c r="R80" s="82"/>
      <c r="T80" s="136"/>
      <c r="U80" s="136"/>
      <c r="V80" s="136"/>
      <c r="W80" s="137"/>
      <c r="X80" s="137"/>
      <c r="Y80" s="137"/>
      <c r="Z80" s="137"/>
      <c r="AA80" s="137"/>
      <c r="AB80"/>
      <c r="AC80"/>
      <c r="AD80"/>
      <c r="AE80"/>
      <c r="AF80"/>
    </row>
    <row r="81" spans="1:32">
      <c r="A81" s="16" t="s">
        <v>95</v>
      </c>
      <c r="B81" s="16" t="s">
        <v>85</v>
      </c>
      <c r="C81" s="16" t="s">
        <v>138</v>
      </c>
      <c r="D81" s="16" t="s">
        <v>106</v>
      </c>
      <c r="E81" s="16" t="s">
        <v>87</v>
      </c>
      <c r="F81" s="16" t="s">
        <v>104</v>
      </c>
      <c r="G81" s="16" t="s">
        <v>140</v>
      </c>
      <c r="H81" s="16" t="s">
        <v>135</v>
      </c>
      <c r="I81" s="16">
        <v>-160000</v>
      </c>
      <c r="M81" s="16">
        <v>-160000</v>
      </c>
      <c r="T81" s="136"/>
      <c r="U81" s="136"/>
      <c r="V81" s="136"/>
      <c r="W81" s="136"/>
      <c r="X81" s="136"/>
      <c r="Y81" s="136"/>
      <c r="Z81" s="136"/>
      <c r="AA81" s="137"/>
      <c r="AB81"/>
      <c r="AC81"/>
      <c r="AD81"/>
      <c r="AE81"/>
      <c r="AF81"/>
    </row>
    <row r="82" spans="1:32">
      <c r="A82" s="16" t="s">
        <v>95</v>
      </c>
      <c r="B82" s="16" t="s">
        <v>85</v>
      </c>
      <c r="C82" s="16" t="s">
        <v>138</v>
      </c>
      <c r="D82" s="16" t="s">
        <v>106</v>
      </c>
      <c r="E82" s="16" t="s">
        <v>87</v>
      </c>
      <c r="F82" s="16" t="s">
        <v>141</v>
      </c>
      <c r="G82" s="16" t="s">
        <v>139</v>
      </c>
      <c r="H82" s="16" t="s">
        <v>135</v>
      </c>
      <c r="I82" s="16">
        <v>-101268</v>
      </c>
      <c r="M82" s="16">
        <v>-101268</v>
      </c>
      <c r="T82" s="136"/>
      <c r="U82" s="136"/>
      <c r="V82" s="136"/>
      <c r="W82" s="136"/>
      <c r="X82" s="136"/>
      <c r="Y82" s="136"/>
      <c r="Z82" s="136"/>
      <c r="AA82" s="137"/>
      <c r="AB82"/>
      <c r="AC82"/>
      <c r="AD82"/>
      <c r="AE82"/>
      <c r="AF82"/>
    </row>
    <row r="83" spans="1:32">
      <c r="A83" s="95" t="s">
        <v>95</v>
      </c>
      <c r="B83" s="95" t="s">
        <v>85</v>
      </c>
      <c r="C83" s="95" t="s">
        <v>142</v>
      </c>
      <c r="D83" s="95" t="s">
        <v>106</v>
      </c>
      <c r="E83" s="95" t="s">
        <v>87</v>
      </c>
      <c r="F83" s="95" t="s">
        <v>89</v>
      </c>
      <c r="G83" s="95" t="s">
        <v>134</v>
      </c>
      <c r="H83" s="95" t="s">
        <v>135</v>
      </c>
      <c r="I83" s="95">
        <v>-191140</v>
      </c>
      <c r="J83" s="95"/>
      <c r="K83" s="95"/>
      <c r="L83" s="95"/>
      <c r="M83" s="95">
        <v>-191140</v>
      </c>
      <c r="N83" s="95"/>
      <c r="O83" s="95"/>
      <c r="P83" s="95"/>
      <c r="Q83" s="95"/>
      <c r="R83" s="95"/>
      <c r="T83" s="136"/>
      <c r="U83" s="136"/>
      <c r="V83" s="136"/>
      <c r="W83" s="136"/>
      <c r="X83" s="136"/>
      <c r="Y83" s="136"/>
      <c r="Z83" s="136"/>
      <c r="AA83" s="137"/>
      <c r="AB83"/>
      <c r="AC83"/>
      <c r="AD83"/>
      <c r="AE83"/>
      <c r="AF83"/>
    </row>
    <row r="84" spans="1:32">
      <c r="A84" s="95" t="s">
        <v>95</v>
      </c>
      <c r="B84" s="95" t="s">
        <v>86</v>
      </c>
      <c r="C84" s="95" t="s">
        <v>112</v>
      </c>
      <c r="D84" s="95" t="s">
        <v>103</v>
      </c>
      <c r="E84" s="95" t="s">
        <v>106</v>
      </c>
      <c r="F84" s="95" t="s">
        <v>95</v>
      </c>
      <c r="G84" s="95"/>
      <c r="H84" s="95" t="s">
        <v>113</v>
      </c>
      <c r="I84" s="95">
        <v>156743</v>
      </c>
      <c r="J84" s="95"/>
      <c r="K84" s="95"/>
      <c r="L84" s="95"/>
      <c r="M84" s="95">
        <v>156743</v>
      </c>
      <c r="N84" s="95"/>
      <c r="O84" s="95"/>
      <c r="P84" s="95"/>
      <c r="Q84" s="95"/>
      <c r="R84" s="95"/>
      <c r="T84" s="136"/>
      <c r="U84" s="137"/>
      <c r="V84" s="137"/>
      <c r="W84" s="136"/>
      <c r="X84" s="136"/>
      <c r="Y84" s="136"/>
      <c r="Z84" s="136"/>
      <c r="AA84" s="137"/>
      <c r="AB84"/>
      <c r="AC84"/>
      <c r="AD84"/>
      <c r="AE84"/>
      <c r="AF84"/>
    </row>
    <row r="85" spans="1:32">
      <c r="A85" s="95" t="s">
        <v>95</v>
      </c>
      <c r="B85" s="95" t="s">
        <v>86</v>
      </c>
      <c r="C85" s="95" t="s">
        <v>115</v>
      </c>
      <c r="D85" s="95" t="s">
        <v>87</v>
      </c>
      <c r="E85" s="95" t="s">
        <v>106</v>
      </c>
      <c r="F85" s="95" t="s">
        <v>95</v>
      </c>
      <c r="G85" s="95"/>
      <c r="H85" s="95" t="s">
        <v>117</v>
      </c>
      <c r="I85" s="95">
        <v>15000</v>
      </c>
      <c r="J85" s="95"/>
      <c r="K85" s="95"/>
      <c r="L85" s="95"/>
      <c r="M85" s="95">
        <v>15000</v>
      </c>
      <c r="N85" s="95"/>
      <c r="O85" s="95"/>
      <c r="P85" s="95"/>
      <c r="Q85" s="95"/>
      <c r="R85" s="95"/>
      <c r="T85" s="136"/>
      <c r="U85" s="136"/>
      <c r="V85" s="136"/>
      <c r="W85" s="136"/>
      <c r="X85" s="136"/>
      <c r="Y85" s="136"/>
      <c r="Z85" s="136"/>
      <c r="AA85" s="137"/>
      <c r="AB85"/>
      <c r="AC85"/>
      <c r="AD85"/>
      <c r="AE85"/>
      <c r="AF85"/>
    </row>
    <row r="86" spans="1:32">
      <c r="A86" s="104" t="s">
        <v>95</v>
      </c>
      <c r="B86" s="104" t="s">
        <v>86</v>
      </c>
      <c r="C86" s="104" t="s">
        <v>119</v>
      </c>
      <c r="D86" s="104" t="s">
        <v>87</v>
      </c>
      <c r="E86" s="104" t="s">
        <v>106</v>
      </c>
      <c r="F86" s="104" t="s">
        <v>95</v>
      </c>
      <c r="G86" s="104" t="s">
        <v>120</v>
      </c>
      <c r="H86" s="104" t="s">
        <v>117</v>
      </c>
      <c r="I86" s="104">
        <v>534762</v>
      </c>
      <c r="J86" s="104"/>
      <c r="K86" s="104"/>
      <c r="L86" s="104"/>
      <c r="M86" s="104">
        <v>534762</v>
      </c>
      <c r="N86" s="104"/>
      <c r="O86" s="104"/>
      <c r="P86" s="104"/>
      <c r="Q86" s="104"/>
      <c r="R86" s="104"/>
      <c r="S86" s="104"/>
      <c r="T86" s="136"/>
      <c r="U86" s="136"/>
      <c r="V86" s="136"/>
      <c r="W86" s="136"/>
      <c r="X86" s="136"/>
      <c r="Y86" s="136"/>
      <c r="Z86" s="136"/>
      <c r="AA86" s="136"/>
      <c r="AC86"/>
      <c r="AD86"/>
      <c r="AE86"/>
      <c r="AF86"/>
    </row>
    <row r="87" spans="1:32">
      <c r="A87" s="104" t="s">
        <v>95</v>
      </c>
      <c r="B87" s="104" t="s">
        <v>99</v>
      </c>
      <c r="C87" s="104" t="s">
        <v>110</v>
      </c>
      <c r="D87" s="104" t="s">
        <v>106</v>
      </c>
      <c r="E87" s="104" t="s">
        <v>103</v>
      </c>
      <c r="F87" s="104" t="s">
        <v>104</v>
      </c>
      <c r="G87" s="104"/>
      <c r="H87" s="104" t="s">
        <v>122</v>
      </c>
      <c r="I87" s="104">
        <v>-289145</v>
      </c>
      <c r="J87" s="104"/>
      <c r="K87" s="104"/>
      <c r="L87" s="104"/>
      <c r="M87" s="104"/>
      <c r="N87" s="104"/>
      <c r="O87" s="104"/>
      <c r="P87" s="104"/>
      <c r="Q87" s="104"/>
      <c r="R87" s="104"/>
      <c r="S87" s="104"/>
      <c r="T87" s="136"/>
      <c r="U87" s="136"/>
      <c r="V87" s="136">
        <v>-289145</v>
      </c>
      <c r="W87" s="136"/>
      <c r="X87" s="136"/>
      <c r="Y87" s="136"/>
      <c r="Z87" s="136"/>
      <c r="AA87" s="136"/>
      <c r="AC87"/>
      <c r="AD87"/>
      <c r="AE87"/>
      <c r="AF87"/>
    </row>
    <row r="88" spans="1:32">
      <c r="A88" s="104" t="s">
        <v>89</v>
      </c>
      <c r="B88" s="104" t="s">
        <v>85</v>
      </c>
      <c r="C88" s="104" t="s">
        <v>143</v>
      </c>
      <c r="D88" s="104" t="s">
        <v>106</v>
      </c>
      <c r="E88" s="104" t="s">
        <v>87</v>
      </c>
      <c r="F88" s="104" t="s">
        <v>141</v>
      </c>
      <c r="G88" s="104" t="s">
        <v>144</v>
      </c>
      <c r="H88" s="104" t="s">
        <v>135</v>
      </c>
      <c r="I88" s="104">
        <v>-10000</v>
      </c>
      <c r="J88" s="104"/>
      <c r="K88" s="104"/>
      <c r="L88" s="104"/>
      <c r="M88" s="104"/>
      <c r="N88" s="104"/>
      <c r="O88" s="104"/>
      <c r="P88" s="104"/>
      <c r="Q88" s="104">
        <v>-10000</v>
      </c>
      <c r="R88" s="104"/>
      <c r="S88" s="104"/>
      <c r="T88" s="136"/>
      <c r="U88" s="136"/>
      <c r="V88" s="136"/>
      <c r="W88" s="136"/>
      <c r="X88" s="136"/>
      <c r="Y88" s="136"/>
      <c r="Z88" s="136"/>
      <c r="AA88" s="136"/>
      <c r="AC88"/>
      <c r="AD88"/>
      <c r="AE88"/>
      <c r="AF88"/>
    </row>
    <row r="89" spans="1:32">
      <c r="A89" s="104" t="s">
        <v>89</v>
      </c>
      <c r="B89" s="104" t="s">
        <v>85</v>
      </c>
      <c r="C89" s="104" t="s">
        <v>143</v>
      </c>
      <c r="D89" s="104" t="s">
        <v>106</v>
      </c>
      <c r="E89" s="104" t="s">
        <v>87</v>
      </c>
      <c r="F89" s="104" t="s">
        <v>141</v>
      </c>
      <c r="G89" s="104" t="s">
        <v>145</v>
      </c>
      <c r="H89" s="104" t="s">
        <v>135</v>
      </c>
      <c r="I89" s="104">
        <v>-74612.45</v>
      </c>
      <c r="J89" s="104"/>
      <c r="K89" s="104"/>
      <c r="L89" s="104"/>
      <c r="M89" s="104"/>
      <c r="N89" s="104"/>
      <c r="O89" s="104"/>
      <c r="P89" s="104"/>
      <c r="Q89" s="104"/>
      <c r="R89" s="104">
        <v>-74612.45</v>
      </c>
      <c r="S89" s="104"/>
      <c r="T89" s="136"/>
      <c r="U89" s="136"/>
      <c r="V89" s="136"/>
      <c r="W89" s="136"/>
      <c r="X89" s="136"/>
      <c r="Y89" s="136"/>
      <c r="Z89" s="136"/>
      <c r="AA89" s="136"/>
      <c r="AC89"/>
      <c r="AD89"/>
      <c r="AE89"/>
      <c r="AF89"/>
    </row>
    <row r="90" spans="1:32">
      <c r="A90" s="104" t="s">
        <v>89</v>
      </c>
      <c r="B90" s="104" t="s">
        <v>86</v>
      </c>
      <c r="C90" s="104" t="s">
        <v>136</v>
      </c>
      <c r="D90" s="104" t="s">
        <v>87</v>
      </c>
      <c r="E90" s="104" t="s">
        <v>106</v>
      </c>
      <c r="F90" s="104" t="s">
        <v>89</v>
      </c>
      <c r="G90" s="104" t="s">
        <v>137</v>
      </c>
      <c r="H90" s="104" t="s">
        <v>135</v>
      </c>
      <c r="I90" s="104">
        <v>50000</v>
      </c>
      <c r="J90" s="104"/>
      <c r="K90" s="104"/>
      <c r="L90" s="104"/>
      <c r="M90" s="104"/>
      <c r="N90" s="104"/>
      <c r="O90" s="104"/>
      <c r="P90" s="104"/>
      <c r="Q90" s="104"/>
      <c r="R90" s="104">
        <v>50000</v>
      </c>
      <c r="S90" s="104"/>
      <c r="T90" s="136"/>
      <c r="U90" s="136"/>
      <c r="V90" s="136"/>
      <c r="W90" s="136"/>
      <c r="X90" s="136"/>
      <c r="Y90" s="136"/>
      <c r="Z90" s="136"/>
      <c r="AA90" s="136"/>
      <c r="AC90"/>
      <c r="AD90"/>
      <c r="AE90"/>
      <c r="AF90"/>
    </row>
    <row r="91" spans="1:32">
      <c r="A91" s="104" t="s">
        <v>89</v>
      </c>
      <c r="B91" s="104" t="s">
        <v>86</v>
      </c>
      <c r="C91" s="104" t="s">
        <v>142</v>
      </c>
      <c r="D91" s="104" t="s">
        <v>87</v>
      </c>
      <c r="E91" s="104" t="s">
        <v>106</v>
      </c>
      <c r="F91" s="104" t="s">
        <v>89</v>
      </c>
      <c r="G91" s="104" t="s">
        <v>134</v>
      </c>
      <c r="H91" s="104" t="s">
        <v>135</v>
      </c>
      <c r="I91" s="104">
        <v>191140</v>
      </c>
      <c r="J91" s="104"/>
      <c r="K91" s="104"/>
      <c r="L91" s="104"/>
      <c r="M91" s="104"/>
      <c r="N91" s="104"/>
      <c r="O91" s="104"/>
      <c r="P91" s="104"/>
      <c r="Q91" s="104"/>
      <c r="R91" s="104">
        <v>191140</v>
      </c>
      <c r="S91" s="104"/>
      <c r="T91" s="136"/>
      <c r="U91" s="136"/>
      <c r="V91" s="136"/>
      <c r="W91" s="136"/>
      <c r="X91" s="136"/>
      <c r="Y91" s="136"/>
      <c r="Z91" s="136"/>
      <c r="AA91" s="136"/>
      <c r="AC91"/>
      <c r="AD91"/>
      <c r="AE91"/>
      <c r="AF91"/>
    </row>
    <row r="92" spans="1:32">
      <c r="A92" s="104" t="s">
        <v>89</v>
      </c>
      <c r="B92" s="104" t="s">
        <v>99</v>
      </c>
      <c r="C92" s="104" t="s">
        <v>110</v>
      </c>
      <c r="D92" s="104" t="s">
        <v>106</v>
      </c>
      <c r="E92" s="104" t="s">
        <v>103</v>
      </c>
      <c r="F92" s="104" t="s">
        <v>104</v>
      </c>
      <c r="G92" s="104"/>
      <c r="H92" s="104" t="s">
        <v>123</v>
      </c>
      <c r="I92" s="104">
        <v>-289145</v>
      </c>
      <c r="J92" s="104"/>
      <c r="K92" s="104"/>
      <c r="L92" s="104"/>
      <c r="M92" s="104"/>
      <c r="N92" s="104"/>
      <c r="O92" s="104"/>
      <c r="P92" s="104"/>
      <c r="Q92" s="104"/>
      <c r="R92" s="104">
        <v>-289145</v>
      </c>
      <c r="S92" s="104"/>
      <c r="T92" s="136"/>
      <c r="U92" s="136"/>
      <c r="V92" s="136"/>
      <c r="W92" s="136"/>
      <c r="X92" s="136"/>
      <c r="Y92" s="136"/>
      <c r="Z92" s="136"/>
      <c r="AA92" s="136"/>
      <c r="AC92"/>
      <c r="AD92"/>
      <c r="AE92"/>
      <c r="AF92"/>
    </row>
    <row r="93" spans="1:32">
      <c r="A93" s="104" t="s">
        <v>104</v>
      </c>
      <c r="B93" s="104" t="s">
        <v>146</v>
      </c>
      <c r="C93" s="104" t="s">
        <v>147</v>
      </c>
      <c r="D93" s="104" t="s">
        <v>87</v>
      </c>
      <c r="E93" s="104" t="s">
        <v>106</v>
      </c>
      <c r="F93" s="104" t="s">
        <v>141</v>
      </c>
      <c r="G93" s="104" t="s">
        <v>148</v>
      </c>
      <c r="H93" s="104" t="s">
        <v>149</v>
      </c>
      <c r="I93" s="104">
        <v>24629</v>
      </c>
      <c r="J93" s="104"/>
      <c r="K93" s="104"/>
      <c r="L93" s="104"/>
      <c r="M93" s="104"/>
      <c r="N93" s="104"/>
      <c r="O93" s="104"/>
      <c r="P93" s="104"/>
      <c r="Q93" s="104"/>
      <c r="R93" s="104">
        <v>24629</v>
      </c>
      <c r="S93" s="104"/>
      <c r="T93" s="136"/>
      <c r="U93" s="136"/>
      <c r="V93" s="136"/>
      <c r="W93" s="136"/>
      <c r="X93" s="136"/>
      <c r="Y93" s="136"/>
      <c r="Z93" s="136"/>
      <c r="AA93" s="136"/>
    </row>
    <row r="94" spans="1:32">
      <c r="A94" s="106" t="s">
        <v>104</v>
      </c>
      <c r="B94" s="106" t="s">
        <v>85</v>
      </c>
      <c r="C94" s="106" t="s">
        <v>151</v>
      </c>
      <c r="D94" s="106" t="s">
        <v>106</v>
      </c>
      <c r="E94" s="106" t="s">
        <v>87</v>
      </c>
      <c r="F94" s="106" t="s">
        <v>141</v>
      </c>
      <c r="G94" s="106" t="s">
        <v>152</v>
      </c>
      <c r="H94" s="106" t="s">
        <v>135</v>
      </c>
      <c r="I94" s="106">
        <v>-12000.01</v>
      </c>
      <c r="J94" s="106"/>
      <c r="K94" s="106"/>
      <c r="L94" s="106"/>
      <c r="M94" s="106">
        <v>-12000.01</v>
      </c>
      <c r="N94" s="106"/>
      <c r="O94" s="106"/>
      <c r="P94" s="106"/>
      <c r="Q94" s="106"/>
      <c r="R94" s="106"/>
      <c r="S94" s="106"/>
      <c r="T94" s="136"/>
      <c r="U94" s="136"/>
      <c r="V94" s="136"/>
      <c r="W94" s="136"/>
      <c r="X94" s="136"/>
      <c r="Y94" s="136"/>
      <c r="Z94" s="136"/>
      <c r="AA94" s="136"/>
    </row>
    <row r="95" spans="1:32">
      <c r="A95" s="106" t="s">
        <v>104</v>
      </c>
      <c r="B95" s="106" t="s">
        <v>85</v>
      </c>
      <c r="C95" s="106" t="s">
        <v>153</v>
      </c>
      <c r="D95" s="106" t="s">
        <v>106</v>
      </c>
      <c r="E95" s="106" t="s">
        <v>87</v>
      </c>
      <c r="F95" s="106" t="s">
        <v>141</v>
      </c>
      <c r="G95" s="106" t="s">
        <v>140</v>
      </c>
      <c r="H95" s="106" t="s">
        <v>135</v>
      </c>
      <c r="I95" s="106">
        <v>-160000</v>
      </c>
      <c r="J95" s="106"/>
      <c r="K95" s="106"/>
      <c r="L95" s="106"/>
      <c r="M95" s="106"/>
      <c r="N95" s="106"/>
      <c r="O95" s="106"/>
      <c r="P95" s="106"/>
      <c r="Q95" s="106"/>
      <c r="R95" s="106"/>
      <c r="S95" s="106"/>
      <c r="T95" s="136"/>
      <c r="U95" s="136"/>
      <c r="V95" s="136">
        <v>-160000</v>
      </c>
      <c r="W95" s="136"/>
      <c r="X95" s="136"/>
      <c r="Y95" s="136"/>
      <c r="Z95" s="136"/>
      <c r="AA95" s="136"/>
    </row>
    <row r="96" spans="1:32">
      <c r="A96" s="106" t="s">
        <v>104</v>
      </c>
      <c r="B96" s="106" t="s">
        <v>86</v>
      </c>
      <c r="C96" s="106" t="s">
        <v>138</v>
      </c>
      <c r="D96" s="106" t="s">
        <v>87</v>
      </c>
      <c r="E96" s="106" t="s">
        <v>106</v>
      </c>
      <c r="F96" s="106" t="s">
        <v>104</v>
      </c>
      <c r="G96" s="106" t="s">
        <v>140</v>
      </c>
      <c r="H96" s="106" t="s">
        <v>135</v>
      </c>
      <c r="I96" s="106">
        <v>160000</v>
      </c>
      <c r="J96" s="106"/>
      <c r="K96" s="106"/>
      <c r="L96" s="106"/>
      <c r="M96" s="106"/>
      <c r="N96" s="106"/>
      <c r="O96" s="106"/>
      <c r="P96" s="106"/>
      <c r="Q96" s="106"/>
      <c r="R96" s="106"/>
      <c r="S96" s="106"/>
      <c r="T96" s="136"/>
      <c r="U96" s="136"/>
      <c r="V96" s="136">
        <v>160000</v>
      </c>
      <c r="W96" s="136"/>
      <c r="X96" s="136"/>
      <c r="Y96" s="136"/>
      <c r="Z96" s="136"/>
      <c r="AA96" s="136"/>
    </row>
    <row r="97" spans="1:27">
      <c r="A97" s="106" t="s">
        <v>104</v>
      </c>
      <c r="B97" s="106" t="s">
        <v>86</v>
      </c>
      <c r="C97" s="106" t="s">
        <v>143</v>
      </c>
      <c r="D97" s="106" t="s">
        <v>87</v>
      </c>
      <c r="E97" s="106" t="s">
        <v>106</v>
      </c>
      <c r="F97" s="106" t="s">
        <v>104</v>
      </c>
      <c r="G97" s="106" t="s">
        <v>145</v>
      </c>
      <c r="H97" s="106" t="s">
        <v>135</v>
      </c>
      <c r="I97" s="106">
        <v>17000</v>
      </c>
      <c r="J97" s="106"/>
      <c r="K97" s="106"/>
      <c r="L97" s="106"/>
      <c r="M97" s="106"/>
      <c r="N97" s="106"/>
      <c r="O97" s="106"/>
      <c r="P97" s="106"/>
      <c r="Q97" s="106"/>
      <c r="R97" s="106">
        <v>17000</v>
      </c>
      <c r="S97" s="106"/>
      <c r="T97" s="136"/>
      <c r="U97" s="136"/>
      <c r="V97" s="136"/>
      <c r="W97" s="136"/>
      <c r="X97" s="136"/>
      <c r="Y97" s="136"/>
      <c r="Z97" s="136"/>
      <c r="AA97" s="136"/>
    </row>
    <row r="98" spans="1:27">
      <c r="A98" s="106" t="s">
        <v>104</v>
      </c>
      <c r="B98" s="106" t="s">
        <v>99</v>
      </c>
      <c r="C98" s="106" t="s">
        <v>110</v>
      </c>
      <c r="D98" s="106" t="s">
        <v>106</v>
      </c>
      <c r="E98" s="106" t="s">
        <v>103</v>
      </c>
      <c r="F98" s="106" t="s">
        <v>104</v>
      </c>
      <c r="G98" s="106"/>
      <c r="H98" s="106" t="s">
        <v>124</v>
      </c>
      <c r="I98" s="106">
        <v>-289145</v>
      </c>
      <c r="J98" s="106"/>
      <c r="K98" s="106"/>
      <c r="L98" s="106"/>
      <c r="M98" s="106"/>
      <c r="N98" s="106"/>
      <c r="O98" s="106"/>
      <c r="P98" s="106"/>
      <c r="Q98" s="106"/>
      <c r="R98" s="106">
        <v>-289145</v>
      </c>
      <c r="S98" s="106"/>
      <c r="T98" s="136"/>
      <c r="U98" s="136"/>
      <c r="V98" s="136"/>
      <c r="W98" s="136"/>
      <c r="X98" s="136"/>
      <c r="Y98" s="136"/>
      <c r="Z98" s="136"/>
      <c r="AA98" s="136"/>
    </row>
    <row r="99" spans="1:27">
      <c r="A99" s="106" t="s">
        <v>141</v>
      </c>
      <c r="B99" s="106" t="s">
        <v>85</v>
      </c>
      <c r="C99" s="106" t="s">
        <v>154</v>
      </c>
      <c r="D99" s="106" t="s">
        <v>106</v>
      </c>
      <c r="E99" s="106" t="s">
        <v>87</v>
      </c>
      <c r="F99" s="106" t="s">
        <v>155</v>
      </c>
      <c r="G99" s="106" t="s">
        <v>152</v>
      </c>
      <c r="H99" s="106" t="s">
        <v>135</v>
      </c>
      <c r="I99" s="106">
        <v>-590807.46</v>
      </c>
      <c r="J99" s="106"/>
      <c r="K99" s="106"/>
      <c r="L99" s="106"/>
      <c r="M99" s="106"/>
      <c r="N99" s="106"/>
      <c r="O99" s="106"/>
      <c r="P99" s="106"/>
      <c r="Q99" s="106">
        <v>-23217</v>
      </c>
      <c r="R99" s="106">
        <v>-482536.45</v>
      </c>
      <c r="S99" s="106"/>
      <c r="T99" s="136"/>
      <c r="U99" s="136"/>
      <c r="V99" s="136">
        <v>-85054.01</v>
      </c>
      <c r="W99" s="136"/>
      <c r="X99" s="136"/>
      <c r="Y99" s="136"/>
      <c r="Z99" s="136"/>
      <c r="AA99" s="136"/>
    </row>
    <row r="100" spans="1:27">
      <c r="A100" s="106" t="s">
        <v>141</v>
      </c>
      <c r="B100" s="106" t="s">
        <v>86</v>
      </c>
      <c r="C100" s="106" t="s">
        <v>138</v>
      </c>
      <c r="D100" s="106" t="s">
        <v>87</v>
      </c>
      <c r="E100" s="106" t="s">
        <v>106</v>
      </c>
      <c r="F100" s="106" t="s">
        <v>141</v>
      </c>
      <c r="G100" s="106" t="s">
        <v>139</v>
      </c>
      <c r="H100" s="106" t="s">
        <v>135</v>
      </c>
      <c r="I100" s="106">
        <v>101268</v>
      </c>
      <c r="J100" s="106"/>
      <c r="K100" s="106"/>
      <c r="L100" s="106"/>
      <c r="M100" s="106"/>
      <c r="N100" s="106"/>
      <c r="O100" s="106"/>
      <c r="P100" s="106"/>
      <c r="Q100" s="106"/>
      <c r="R100" s="106"/>
      <c r="S100" s="106"/>
      <c r="T100" s="136"/>
      <c r="U100" s="136"/>
      <c r="V100" s="136">
        <v>101268</v>
      </c>
      <c r="W100" s="136"/>
      <c r="X100" s="136"/>
      <c r="Y100" s="136"/>
      <c r="Z100" s="136"/>
      <c r="AA100" s="136"/>
    </row>
    <row r="101" spans="1:27">
      <c r="A101" s="107" t="s">
        <v>141</v>
      </c>
      <c r="B101" s="107" t="s">
        <v>86</v>
      </c>
      <c r="C101" s="107" t="s">
        <v>143</v>
      </c>
      <c r="D101" s="107" t="s">
        <v>87</v>
      </c>
      <c r="E101" s="107" t="s">
        <v>106</v>
      </c>
      <c r="F101" s="107" t="s">
        <v>141</v>
      </c>
      <c r="G101" s="107" t="s">
        <v>144</v>
      </c>
      <c r="H101" s="107" t="s">
        <v>135</v>
      </c>
      <c r="I101" s="107">
        <v>10000</v>
      </c>
      <c r="J101" s="107"/>
      <c r="K101" s="107"/>
      <c r="L101" s="107"/>
      <c r="M101" s="107"/>
      <c r="N101" s="107"/>
      <c r="O101" s="107"/>
      <c r="P101" s="107"/>
      <c r="Q101" s="107">
        <v>10000</v>
      </c>
      <c r="R101" s="107"/>
      <c r="S101" s="107"/>
      <c r="T101" s="136"/>
      <c r="U101" s="136"/>
      <c r="V101" s="136"/>
      <c r="W101" s="136"/>
      <c r="X101" s="136"/>
      <c r="Y101" s="136"/>
      <c r="Z101" s="136"/>
      <c r="AA101" s="136"/>
    </row>
    <row r="102" spans="1:27">
      <c r="A102" s="107" t="s">
        <v>141</v>
      </c>
      <c r="B102" s="107" t="s">
        <v>86</v>
      </c>
      <c r="C102" s="107" t="s">
        <v>143</v>
      </c>
      <c r="D102" s="107" t="s">
        <v>87</v>
      </c>
      <c r="E102" s="107" t="s">
        <v>106</v>
      </c>
      <c r="F102" s="107" t="s">
        <v>141</v>
      </c>
      <c r="G102" s="107" t="s">
        <v>145</v>
      </c>
      <c r="H102" s="107" t="s">
        <v>135</v>
      </c>
      <c r="I102" s="107">
        <v>57612.45</v>
      </c>
      <c r="J102" s="107"/>
      <c r="K102" s="107"/>
      <c r="L102" s="107"/>
      <c r="M102" s="107"/>
      <c r="N102" s="107"/>
      <c r="O102" s="107"/>
      <c r="P102" s="107"/>
      <c r="Q102" s="107"/>
      <c r="R102" s="107">
        <v>57612.45</v>
      </c>
      <c r="S102" s="107"/>
      <c r="T102" s="136"/>
      <c r="U102" s="136"/>
      <c r="V102" s="136"/>
      <c r="W102" s="136"/>
      <c r="X102" s="136"/>
      <c r="Y102" s="136"/>
      <c r="Z102" s="136"/>
      <c r="AA102" s="136"/>
    </row>
    <row r="103" spans="1:27">
      <c r="A103" s="107" t="s">
        <v>141</v>
      </c>
      <c r="B103" s="107" t="s">
        <v>86</v>
      </c>
      <c r="C103" s="107" t="s">
        <v>151</v>
      </c>
      <c r="D103" s="107" t="s">
        <v>87</v>
      </c>
      <c r="E103" s="107" t="s">
        <v>106</v>
      </c>
      <c r="F103" s="107" t="s">
        <v>141</v>
      </c>
      <c r="G103" s="107" t="s">
        <v>152</v>
      </c>
      <c r="H103" s="107" t="s">
        <v>135</v>
      </c>
      <c r="I103" s="107">
        <v>12000.01</v>
      </c>
      <c r="J103" s="107"/>
      <c r="K103" s="107"/>
      <c r="L103" s="107"/>
      <c r="M103" s="107"/>
      <c r="N103" s="107"/>
      <c r="O103" s="107"/>
      <c r="P103" s="107"/>
      <c r="Q103" s="107"/>
      <c r="R103" s="107"/>
      <c r="S103" s="107"/>
      <c r="T103" s="136"/>
      <c r="U103" s="136"/>
      <c r="V103" s="136">
        <v>12000.01</v>
      </c>
      <c r="W103" s="136"/>
      <c r="X103" s="136"/>
      <c r="Y103" s="136"/>
      <c r="Z103" s="136"/>
      <c r="AA103" s="136"/>
    </row>
    <row r="104" spans="1:27">
      <c r="A104" s="107" t="s">
        <v>141</v>
      </c>
      <c r="B104" s="107" t="s">
        <v>86</v>
      </c>
      <c r="C104" s="107" t="s">
        <v>153</v>
      </c>
      <c r="D104" s="107" t="s">
        <v>87</v>
      </c>
      <c r="E104" s="107" t="s">
        <v>106</v>
      </c>
      <c r="F104" s="107" t="s">
        <v>141</v>
      </c>
      <c r="G104" s="107" t="s">
        <v>140</v>
      </c>
      <c r="H104" s="107" t="s">
        <v>135</v>
      </c>
      <c r="I104" s="107">
        <v>160000</v>
      </c>
      <c r="J104" s="107"/>
      <c r="K104" s="107"/>
      <c r="L104" s="107"/>
      <c r="M104" s="107"/>
      <c r="N104" s="107"/>
      <c r="O104" s="107"/>
      <c r="P104" s="107"/>
      <c r="Q104" s="107"/>
      <c r="R104" s="107">
        <v>160000</v>
      </c>
      <c r="S104" s="107"/>
      <c r="T104" s="136"/>
      <c r="U104" s="136"/>
      <c r="V104" s="136"/>
      <c r="W104" s="136"/>
      <c r="X104" s="136"/>
      <c r="Y104" s="136"/>
      <c r="Z104" s="136"/>
      <c r="AA104" s="136"/>
    </row>
    <row r="105" spans="1:27">
      <c r="A105" s="107" t="s">
        <v>141</v>
      </c>
      <c r="B105" s="107" t="s">
        <v>150</v>
      </c>
      <c r="C105" s="107" t="s">
        <v>147</v>
      </c>
      <c r="D105" s="107" t="s">
        <v>106</v>
      </c>
      <c r="E105" s="107" t="s">
        <v>87</v>
      </c>
      <c r="F105" s="107" t="s">
        <v>141</v>
      </c>
      <c r="G105" s="107" t="s">
        <v>148</v>
      </c>
      <c r="H105" s="107" t="s">
        <v>149</v>
      </c>
      <c r="I105" s="107">
        <v>-24629</v>
      </c>
      <c r="J105" s="107"/>
      <c r="K105" s="107"/>
      <c r="L105" s="107"/>
      <c r="M105" s="107"/>
      <c r="N105" s="107"/>
      <c r="O105" s="107"/>
      <c r="P105" s="107"/>
      <c r="Q105" s="107"/>
      <c r="R105" s="107">
        <v>-24629</v>
      </c>
      <c r="S105" s="107"/>
      <c r="T105" s="136"/>
      <c r="U105" s="136"/>
      <c r="V105" s="136"/>
      <c r="W105" s="136"/>
      <c r="X105" s="136"/>
      <c r="Y105" s="136"/>
      <c r="Z105" s="136"/>
      <c r="AA105" s="136"/>
    </row>
    <row r="106" spans="1:27">
      <c r="A106" s="107" t="s">
        <v>155</v>
      </c>
      <c r="B106" s="107" t="s">
        <v>85</v>
      </c>
      <c r="C106" s="107" t="s">
        <v>174</v>
      </c>
      <c r="D106" s="107" t="s">
        <v>106</v>
      </c>
      <c r="E106" s="107" t="s">
        <v>87</v>
      </c>
      <c r="F106" s="107" t="s">
        <v>177</v>
      </c>
      <c r="G106" s="107" t="s">
        <v>175</v>
      </c>
      <c r="H106" s="107" t="s">
        <v>135</v>
      </c>
      <c r="I106" s="107">
        <v>-879336.34</v>
      </c>
      <c r="J106" s="107"/>
      <c r="K106" s="107"/>
      <c r="L106" s="107"/>
      <c r="M106" s="107"/>
      <c r="N106" s="107"/>
      <c r="O106" s="107"/>
      <c r="P106" s="107"/>
      <c r="Q106" s="107">
        <v>-35000</v>
      </c>
      <c r="R106" s="107"/>
      <c r="S106" s="107"/>
      <c r="T106" s="136">
        <v>-844336.34</v>
      </c>
      <c r="U106" s="136"/>
      <c r="V106" s="136"/>
      <c r="W106" s="136"/>
      <c r="X106" s="136"/>
      <c r="Y106" s="136"/>
      <c r="Z106" s="136"/>
      <c r="AA106" s="136"/>
    </row>
    <row r="107" spans="1:27">
      <c r="A107" s="136" t="s">
        <v>155</v>
      </c>
      <c r="B107" s="136" t="s">
        <v>85</v>
      </c>
      <c r="C107" s="136" t="s">
        <v>176</v>
      </c>
      <c r="D107" s="136" t="s">
        <v>106</v>
      </c>
      <c r="E107" s="136" t="s">
        <v>87</v>
      </c>
      <c r="F107" s="136" t="s">
        <v>177</v>
      </c>
      <c r="G107" s="136" t="s">
        <v>192</v>
      </c>
      <c r="H107" s="136" t="s">
        <v>135</v>
      </c>
      <c r="I107" s="136">
        <v>-116240</v>
      </c>
      <c r="J107" s="136"/>
      <c r="K107" s="136"/>
      <c r="L107" s="136"/>
      <c r="M107" s="136"/>
      <c r="N107" s="136"/>
      <c r="O107" s="136"/>
      <c r="P107" s="136"/>
      <c r="Q107" s="136"/>
      <c r="R107" s="136"/>
      <c r="S107" s="136"/>
      <c r="T107" s="136"/>
      <c r="U107" s="136">
        <v>-116240</v>
      </c>
      <c r="V107" s="136"/>
      <c r="W107" s="136"/>
      <c r="X107" s="136"/>
      <c r="Y107" s="136"/>
      <c r="Z107" s="136"/>
      <c r="AA107" s="136"/>
    </row>
    <row r="108" spans="1:27">
      <c r="A108" s="136" t="s">
        <v>155</v>
      </c>
      <c r="B108" s="136" t="s">
        <v>86</v>
      </c>
      <c r="C108" s="136" t="s">
        <v>154</v>
      </c>
      <c r="D108" s="136" t="s">
        <v>87</v>
      </c>
      <c r="E108" s="136" t="s">
        <v>106</v>
      </c>
      <c r="F108" s="136" t="s">
        <v>155</v>
      </c>
      <c r="G108" s="136" t="s">
        <v>152</v>
      </c>
      <c r="H108" s="136" t="s">
        <v>135</v>
      </c>
      <c r="I108" s="136">
        <v>590807.46</v>
      </c>
      <c r="J108" s="136"/>
      <c r="K108" s="136"/>
      <c r="L108" s="136"/>
      <c r="M108" s="136"/>
      <c r="N108" s="136"/>
      <c r="O108" s="136"/>
      <c r="P108" s="136"/>
      <c r="Q108" s="136">
        <v>23217</v>
      </c>
      <c r="R108" s="136">
        <v>482536.45</v>
      </c>
      <c r="S108" s="136"/>
      <c r="T108" s="136"/>
      <c r="U108" s="136"/>
      <c r="V108" s="136">
        <v>85054.01</v>
      </c>
      <c r="W108" s="136"/>
      <c r="X108" s="136"/>
      <c r="Y108" s="136"/>
      <c r="Z108" s="136"/>
      <c r="AA108" s="136"/>
    </row>
    <row r="109" spans="1:27">
      <c r="A109" s="136" t="s">
        <v>177</v>
      </c>
      <c r="B109" s="136" t="s">
        <v>85</v>
      </c>
      <c r="C109" s="136" t="s">
        <v>197</v>
      </c>
      <c r="D109" s="136" t="s">
        <v>106</v>
      </c>
      <c r="E109" s="136" t="s">
        <v>87</v>
      </c>
      <c r="F109" s="136" t="s">
        <v>198</v>
      </c>
      <c r="G109" s="136" t="s">
        <v>199</v>
      </c>
      <c r="H109" s="136" t="s">
        <v>200</v>
      </c>
      <c r="I109" s="136">
        <v>-211382.58</v>
      </c>
      <c r="J109" s="136"/>
      <c r="K109" s="136"/>
      <c r="L109" s="136"/>
      <c r="M109" s="136"/>
      <c r="N109" s="136"/>
      <c r="O109" s="136"/>
      <c r="P109" s="136"/>
      <c r="Q109" s="136"/>
      <c r="R109" s="136"/>
      <c r="S109" s="136"/>
      <c r="T109" s="136"/>
      <c r="U109" s="136">
        <v>-211382.58</v>
      </c>
      <c r="V109" s="136"/>
      <c r="W109" s="136"/>
      <c r="X109" s="136"/>
      <c r="Y109" s="136"/>
      <c r="Z109" s="136"/>
      <c r="AA109" s="136"/>
    </row>
    <row r="110" spans="1:27">
      <c r="A110" s="136" t="s">
        <v>177</v>
      </c>
      <c r="B110" s="136" t="s">
        <v>85</v>
      </c>
      <c r="C110" s="136" t="s">
        <v>197</v>
      </c>
      <c r="D110" s="136" t="s">
        <v>106</v>
      </c>
      <c r="E110" s="136" t="s">
        <v>87</v>
      </c>
      <c r="F110" s="136" t="s">
        <v>198</v>
      </c>
      <c r="G110" s="136" t="s">
        <v>175</v>
      </c>
      <c r="H110" s="136" t="s">
        <v>200</v>
      </c>
      <c r="I110" s="136">
        <v>-883371.34</v>
      </c>
      <c r="J110" s="136"/>
      <c r="K110" s="136"/>
      <c r="L110" s="136"/>
      <c r="M110" s="136"/>
      <c r="N110" s="136"/>
      <c r="O110" s="136"/>
      <c r="P110" s="136"/>
      <c r="Q110" s="136"/>
      <c r="R110" s="136"/>
      <c r="S110" s="136"/>
      <c r="T110" s="136">
        <v>-883371.34</v>
      </c>
      <c r="U110" s="136"/>
      <c r="V110" s="136"/>
      <c r="W110" s="136"/>
      <c r="X110" s="136"/>
      <c r="Y110" s="136"/>
      <c r="Z110" s="136"/>
      <c r="AA110" s="136"/>
    </row>
    <row r="111" spans="1:27">
      <c r="A111" s="191" t="s">
        <v>177</v>
      </c>
      <c r="B111" s="191" t="s">
        <v>85</v>
      </c>
      <c r="C111" s="191" t="s">
        <v>197</v>
      </c>
      <c r="D111" s="191" t="s">
        <v>106</v>
      </c>
      <c r="E111" s="191" t="s">
        <v>87</v>
      </c>
      <c r="F111" s="191" t="s">
        <v>198</v>
      </c>
      <c r="G111" s="191" t="s">
        <v>201</v>
      </c>
      <c r="H111" s="191" t="s">
        <v>200</v>
      </c>
      <c r="I111" s="191">
        <v>-2929.56</v>
      </c>
      <c r="J111" s="191"/>
      <c r="K111" s="191"/>
      <c r="L111" s="191"/>
      <c r="M111" s="191"/>
      <c r="N111" s="191">
        <v>-2929.56</v>
      </c>
      <c r="O111" s="191"/>
      <c r="P111" s="191"/>
      <c r="Q111" s="191"/>
      <c r="R111" s="191"/>
      <c r="S111" s="191"/>
      <c r="T111" s="191"/>
      <c r="U111" s="191"/>
      <c r="V111" s="191"/>
      <c r="W111" s="191"/>
      <c r="X111" s="191"/>
      <c r="Y111" s="191"/>
      <c r="Z111" s="191"/>
      <c r="AA111" s="191"/>
    </row>
    <row r="112" spans="1:27">
      <c r="A112" s="191" t="s">
        <v>177</v>
      </c>
      <c r="B112" s="191" t="s">
        <v>86</v>
      </c>
      <c r="C112" s="191" t="s">
        <v>174</v>
      </c>
      <c r="D112" s="191" t="s">
        <v>87</v>
      </c>
      <c r="E112" s="191" t="s">
        <v>106</v>
      </c>
      <c r="F112" s="191" t="s">
        <v>177</v>
      </c>
      <c r="G112" s="191" t="s">
        <v>175</v>
      </c>
      <c r="H112" s="191" t="s">
        <v>135</v>
      </c>
      <c r="I112" s="191">
        <v>879336.34</v>
      </c>
      <c r="J112" s="191"/>
      <c r="K112" s="191"/>
      <c r="L112" s="191"/>
      <c r="M112" s="191"/>
      <c r="N112" s="191"/>
      <c r="O112" s="191"/>
      <c r="P112" s="191"/>
      <c r="Q112" s="191">
        <v>35000</v>
      </c>
      <c r="R112" s="191"/>
      <c r="S112" s="191"/>
      <c r="T112" s="191">
        <v>844336.34</v>
      </c>
      <c r="U112" s="191"/>
      <c r="V112" s="191"/>
      <c r="W112" s="191"/>
      <c r="X112" s="191"/>
      <c r="Y112" s="191"/>
      <c r="Z112" s="191"/>
      <c r="AA112" s="191"/>
    </row>
    <row r="113" spans="1:27">
      <c r="A113" s="191" t="s">
        <v>177</v>
      </c>
      <c r="B113" s="191" t="s">
        <v>86</v>
      </c>
      <c r="C113" s="191" t="s">
        <v>176</v>
      </c>
      <c r="D113" s="191" t="s">
        <v>87</v>
      </c>
      <c r="E113" s="191" t="s">
        <v>106</v>
      </c>
      <c r="F113" s="191" t="s">
        <v>177</v>
      </c>
      <c r="G113" s="191" t="s">
        <v>192</v>
      </c>
      <c r="H113" s="191" t="s">
        <v>135</v>
      </c>
      <c r="I113" s="191">
        <v>116240</v>
      </c>
      <c r="J113" s="191"/>
      <c r="K113" s="191"/>
      <c r="L113" s="191"/>
      <c r="M113" s="191"/>
      <c r="N113" s="191"/>
      <c r="O113" s="191"/>
      <c r="P113" s="191"/>
      <c r="Q113" s="191"/>
      <c r="R113" s="191"/>
      <c r="S113" s="191"/>
      <c r="T113" s="191"/>
      <c r="U113" s="191">
        <v>116240</v>
      </c>
      <c r="V113" s="191"/>
      <c r="W113" s="191"/>
      <c r="X113" s="191"/>
      <c r="Y113" s="191"/>
      <c r="Z113" s="191"/>
      <c r="AA113" s="191"/>
    </row>
    <row r="114" spans="1:27">
      <c r="A114" s="191" t="s">
        <v>198</v>
      </c>
      <c r="B114" s="191" t="s">
        <v>85</v>
      </c>
      <c r="C114" s="191" t="s">
        <v>207</v>
      </c>
      <c r="D114" s="191" t="s">
        <v>106</v>
      </c>
      <c r="E114" s="191" t="s">
        <v>87</v>
      </c>
      <c r="F114" s="191" t="s">
        <v>202</v>
      </c>
      <c r="G114" s="191" t="s">
        <v>208</v>
      </c>
      <c r="H114" s="191" t="s">
        <v>209</v>
      </c>
      <c r="I114" s="191">
        <v>-336703.92</v>
      </c>
      <c r="J114" s="191"/>
      <c r="K114" s="191"/>
      <c r="L114" s="191"/>
      <c r="M114" s="191"/>
      <c r="N114" s="191"/>
      <c r="O114" s="191"/>
      <c r="P114" s="191"/>
      <c r="Q114" s="191"/>
      <c r="R114" s="191"/>
      <c r="S114" s="191"/>
      <c r="T114" s="191"/>
      <c r="U114" s="191">
        <v>-336703.92</v>
      </c>
      <c r="V114" s="191"/>
      <c r="W114" s="191"/>
      <c r="X114" s="191"/>
      <c r="Y114" s="191"/>
      <c r="Z114" s="191"/>
      <c r="AA114" s="191"/>
    </row>
    <row r="115" spans="1:27">
      <c r="A115" s="191" t="s">
        <v>198</v>
      </c>
      <c r="B115" s="191" t="s">
        <v>85</v>
      </c>
      <c r="C115" s="191" t="s">
        <v>207</v>
      </c>
      <c r="D115" s="191" t="s">
        <v>106</v>
      </c>
      <c r="E115" s="191" t="s">
        <v>87</v>
      </c>
      <c r="F115" s="191" t="s">
        <v>202</v>
      </c>
      <c r="G115" s="191" t="s">
        <v>175</v>
      </c>
      <c r="H115" s="191" t="s">
        <v>210</v>
      </c>
      <c r="I115" s="191">
        <v>-288529.21999999997</v>
      </c>
      <c r="J115" s="191"/>
      <c r="K115" s="191"/>
      <c r="L115" s="191"/>
      <c r="M115" s="191"/>
      <c r="N115" s="191"/>
      <c r="O115" s="191"/>
      <c r="P115" s="191"/>
      <c r="Q115" s="191"/>
      <c r="R115" s="191"/>
      <c r="S115" s="191"/>
      <c r="T115" s="191">
        <v>-288529.21999999997</v>
      </c>
      <c r="U115" s="191"/>
      <c r="V115" s="191"/>
      <c r="W115" s="191"/>
      <c r="X115" s="191"/>
      <c r="Y115" s="191"/>
      <c r="Z115" s="191"/>
      <c r="AA115" s="191"/>
    </row>
    <row r="116" spans="1:27">
      <c r="A116" s="191" t="s">
        <v>198</v>
      </c>
      <c r="B116" s="191" t="s">
        <v>86</v>
      </c>
      <c r="C116" s="191" t="s">
        <v>197</v>
      </c>
      <c r="D116" s="191" t="s">
        <v>87</v>
      </c>
      <c r="E116" s="191" t="s">
        <v>106</v>
      </c>
      <c r="F116" s="191" t="s">
        <v>198</v>
      </c>
      <c r="G116" s="191" t="s">
        <v>199</v>
      </c>
      <c r="H116" s="191" t="s">
        <v>200</v>
      </c>
      <c r="I116" s="191">
        <v>211382.58</v>
      </c>
      <c r="J116" s="191"/>
      <c r="K116" s="191"/>
      <c r="L116" s="191"/>
      <c r="M116" s="191"/>
      <c r="N116" s="191"/>
      <c r="O116" s="191"/>
      <c r="P116" s="191"/>
      <c r="Q116" s="191"/>
      <c r="R116" s="191"/>
      <c r="S116" s="191"/>
      <c r="T116" s="191"/>
      <c r="U116" s="191">
        <v>211382.58</v>
      </c>
      <c r="V116" s="191"/>
      <c r="W116" s="191"/>
      <c r="X116" s="191"/>
      <c r="Y116" s="191"/>
      <c r="Z116" s="191"/>
      <c r="AA116" s="191"/>
    </row>
    <row r="117" spans="1:27">
      <c r="A117" s="196" t="s">
        <v>198</v>
      </c>
      <c r="B117" s="196" t="s">
        <v>86</v>
      </c>
      <c r="C117" s="196" t="s">
        <v>197</v>
      </c>
      <c r="D117" s="196" t="s">
        <v>87</v>
      </c>
      <c r="E117" s="196" t="s">
        <v>106</v>
      </c>
      <c r="F117" s="196" t="s">
        <v>198</v>
      </c>
      <c r="G117" s="196" t="s">
        <v>201</v>
      </c>
      <c r="H117" s="196" t="s">
        <v>200</v>
      </c>
      <c r="I117" s="196">
        <v>2929.56</v>
      </c>
      <c r="J117" s="196"/>
      <c r="K117" s="196"/>
      <c r="L117" s="196"/>
      <c r="M117" s="196"/>
      <c r="N117" s="196">
        <v>2929.56</v>
      </c>
      <c r="O117" s="196"/>
      <c r="P117" s="196"/>
      <c r="Q117" s="196"/>
      <c r="R117" s="196"/>
      <c r="S117" s="196"/>
      <c r="T117" s="196"/>
      <c r="U117" s="196"/>
      <c r="V117" s="196"/>
      <c r="W117" s="196"/>
      <c r="X117" s="196"/>
      <c r="Y117" s="196"/>
      <c r="Z117" s="196"/>
      <c r="AA117" s="196"/>
    </row>
    <row r="118" spans="1:27">
      <c r="A118" s="196" t="s">
        <v>202</v>
      </c>
      <c r="B118" s="196" t="s">
        <v>85</v>
      </c>
      <c r="C118" s="196" t="s">
        <v>223</v>
      </c>
      <c r="D118" s="196" t="s">
        <v>106</v>
      </c>
      <c r="E118" s="196" t="s">
        <v>87</v>
      </c>
      <c r="F118" s="196" t="s">
        <v>224</v>
      </c>
      <c r="G118" s="196" t="s">
        <v>199</v>
      </c>
      <c r="H118" s="196" t="s">
        <v>209</v>
      </c>
      <c r="I118" s="196">
        <v>-458421.35</v>
      </c>
      <c r="J118" s="196"/>
      <c r="K118" s="196"/>
      <c r="L118" s="196"/>
      <c r="M118" s="196"/>
      <c r="N118" s="196"/>
      <c r="O118" s="196"/>
      <c r="P118" s="196"/>
      <c r="Q118" s="196"/>
      <c r="R118" s="196"/>
      <c r="S118" s="196"/>
      <c r="T118" s="196"/>
      <c r="U118" s="196">
        <v>-458421.35</v>
      </c>
      <c r="V118" s="196"/>
      <c r="W118" s="196"/>
      <c r="X118" s="196"/>
      <c r="Y118" s="196"/>
      <c r="Z118" s="196"/>
      <c r="AA118" s="196"/>
    </row>
    <row r="119" spans="1:27">
      <c r="A119" s="196" t="s">
        <v>202</v>
      </c>
      <c r="B119" s="196" t="s">
        <v>85</v>
      </c>
      <c r="C119" s="196" t="s">
        <v>223</v>
      </c>
      <c r="D119" s="196" t="s">
        <v>106</v>
      </c>
      <c r="E119" s="196" t="s">
        <v>87</v>
      </c>
      <c r="F119" s="196" t="s">
        <v>224</v>
      </c>
      <c r="G119" s="196" t="s">
        <v>225</v>
      </c>
      <c r="H119" s="196" t="s">
        <v>210</v>
      </c>
      <c r="I119" s="196">
        <v>-1468034.9</v>
      </c>
      <c r="J119" s="196"/>
      <c r="K119" s="196"/>
      <c r="L119" s="196"/>
      <c r="M119" s="196"/>
      <c r="N119" s="196"/>
      <c r="O119" s="196"/>
      <c r="P119" s="196"/>
      <c r="Q119" s="196"/>
      <c r="R119" s="196"/>
      <c r="S119" s="196"/>
      <c r="T119" s="196">
        <v>-1468034.9</v>
      </c>
      <c r="U119" s="196"/>
      <c r="V119" s="196"/>
      <c r="W119" s="196"/>
      <c r="X119" s="196"/>
      <c r="Y119" s="196"/>
      <c r="Z119" s="196"/>
      <c r="AA119" s="196"/>
    </row>
    <row r="120" spans="1:27">
      <c r="A120" s="196" t="s">
        <v>202</v>
      </c>
      <c r="B120" s="196" t="s">
        <v>86</v>
      </c>
      <c r="C120" s="196" t="s">
        <v>207</v>
      </c>
      <c r="D120" s="196" t="s">
        <v>87</v>
      </c>
      <c r="E120" s="196" t="s">
        <v>106</v>
      </c>
      <c r="F120" s="196" t="s">
        <v>202</v>
      </c>
      <c r="G120" s="196" t="s">
        <v>208</v>
      </c>
      <c r="H120" s="196" t="s">
        <v>209</v>
      </c>
      <c r="I120" s="196">
        <v>336703.92</v>
      </c>
      <c r="J120" s="196"/>
      <c r="K120" s="196"/>
      <c r="L120" s="196"/>
      <c r="M120" s="196"/>
      <c r="N120" s="196"/>
      <c r="O120" s="196"/>
      <c r="P120" s="196"/>
      <c r="Q120" s="196"/>
      <c r="R120" s="196"/>
      <c r="S120" s="196"/>
      <c r="T120" s="196"/>
      <c r="U120" s="196">
        <v>336703.92</v>
      </c>
      <c r="V120" s="196"/>
      <c r="W120" s="196"/>
      <c r="X120" s="196"/>
      <c r="Y120" s="196"/>
      <c r="Z120" s="196"/>
      <c r="AA120" s="196"/>
    </row>
    <row r="121" spans="1:27">
      <c r="A121" s="200" t="s">
        <v>202</v>
      </c>
      <c r="B121" s="200" t="s">
        <v>86</v>
      </c>
      <c r="C121" s="200" t="s">
        <v>207</v>
      </c>
      <c r="D121" s="200" t="s">
        <v>87</v>
      </c>
      <c r="E121" s="200" t="s">
        <v>106</v>
      </c>
      <c r="F121" s="200" t="s">
        <v>202</v>
      </c>
      <c r="G121" s="200" t="s">
        <v>175</v>
      </c>
      <c r="H121" s="200" t="s">
        <v>210</v>
      </c>
      <c r="I121" s="200">
        <v>288529.21999999997</v>
      </c>
      <c r="J121" s="200"/>
      <c r="K121" s="200"/>
      <c r="L121" s="200"/>
      <c r="M121" s="200"/>
      <c r="N121" s="200"/>
      <c r="O121" s="200"/>
      <c r="P121" s="200"/>
      <c r="Q121" s="200"/>
      <c r="R121" s="200"/>
      <c r="S121" s="200"/>
      <c r="T121" s="200">
        <v>288529.21999999997</v>
      </c>
      <c r="U121" s="200"/>
      <c r="V121" s="200"/>
      <c r="W121" s="200"/>
      <c r="X121" s="200"/>
      <c r="Y121" s="200"/>
      <c r="Z121" s="200"/>
      <c r="AA121" s="200"/>
    </row>
    <row r="122" spans="1:27">
      <c r="A122" s="200" t="s">
        <v>202</v>
      </c>
      <c r="B122" s="200" t="s">
        <v>86</v>
      </c>
      <c r="C122" s="200" t="s">
        <v>197</v>
      </c>
      <c r="D122" s="200" t="s">
        <v>87</v>
      </c>
      <c r="E122" s="200" t="s">
        <v>106</v>
      </c>
      <c r="F122" s="200" t="s">
        <v>198</v>
      </c>
      <c r="G122" s="200" t="s">
        <v>175</v>
      </c>
      <c r="H122" s="200" t="s">
        <v>200</v>
      </c>
      <c r="I122" s="200">
        <v>883371.34</v>
      </c>
      <c r="J122" s="200"/>
      <c r="K122" s="200"/>
      <c r="L122" s="200"/>
      <c r="M122" s="200"/>
      <c r="N122" s="200"/>
      <c r="O122" s="200"/>
      <c r="P122" s="200"/>
      <c r="Q122" s="200"/>
      <c r="R122" s="200"/>
      <c r="S122" s="200"/>
      <c r="T122" s="200">
        <v>883371.34</v>
      </c>
      <c r="U122" s="200"/>
      <c r="V122" s="200"/>
      <c r="W122" s="200"/>
      <c r="X122" s="200"/>
      <c r="Y122" s="200"/>
      <c r="Z122" s="200"/>
      <c r="AA122" s="200"/>
    </row>
    <row r="123" spans="1:27">
      <c r="A123" s="200" t="s">
        <v>224</v>
      </c>
      <c r="B123" s="200" t="s">
        <v>86</v>
      </c>
      <c r="C123" s="200" t="s">
        <v>223</v>
      </c>
      <c r="D123" s="200" t="s">
        <v>87</v>
      </c>
      <c r="E123" s="200" t="s">
        <v>106</v>
      </c>
      <c r="F123" s="200" t="s">
        <v>224</v>
      </c>
      <c r="G123" s="200" t="s">
        <v>199</v>
      </c>
      <c r="H123" s="200" t="s">
        <v>209</v>
      </c>
      <c r="I123" s="200">
        <v>458421.35</v>
      </c>
      <c r="J123" s="200"/>
      <c r="K123" s="200"/>
      <c r="L123" s="200"/>
      <c r="M123" s="200"/>
      <c r="N123" s="200"/>
      <c r="O123" s="200"/>
      <c r="P123" s="200"/>
      <c r="Q123" s="200"/>
      <c r="R123" s="200"/>
      <c r="S123" s="200"/>
      <c r="T123" s="200"/>
      <c r="U123" s="200">
        <v>458421.35</v>
      </c>
      <c r="V123" s="200"/>
      <c r="W123" s="200"/>
      <c r="X123" s="200"/>
      <c r="Y123" s="200"/>
      <c r="Z123" s="200"/>
      <c r="AA123" s="200"/>
    </row>
    <row r="124" spans="1:27">
      <c r="A124" s="200" t="s">
        <v>224</v>
      </c>
      <c r="B124" s="200" t="s">
        <v>86</v>
      </c>
      <c r="C124" s="200" t="s">
        <v>223</v>
      </c>
      <c r="D124" s="200" t="s">
        <v>87</v>
      </c>
      <c r="E124" s="200" t="s">
        <v>106</v>
      </c>
      <c r="F124" s="200" t="s">
        <v>224</v>
      </c>
      <c r="G124" s="200" t="s">
        <v>225</v>
      </c>
      <c r="H124" s="200" t="s">
        <v>210</v>
      </c>
      <c r="I124" s="200">
        <v>1468034.9</v>
      </c>
      <c r="J124" s="200"/>
      <c r="K124" s="200"/>
      <c r="L124" s="200"/>
      <c r="M124" s="200"/>
      <c r="N124" s="200"/>
      <c r="O124" s="200"/>
      <c r="P124" s="200"/>
      <c r="Q124" s="200"/>
      <c r="R124" s="200"/>
      <c r="S124" s="200"/>
      <c r="T124" s="200">
        <v>1468034.9</v>
      </c>
      <c r="U124" s="200"/>
      <c r="V124" s="200"/>
      <c r="W124" s="200"/>
      <c r="X124" s="200"/>
      <c r="Y124" s="200"/>
      <c r="Z124" s="200"/>
      <c r="AA124" s="200"/>
    </row>
  </sheetData>
  <mergeCells count="5">
    <mergeCell ref="A1:F1"/>
    <mergeCell ref="A3:F3"/>
    <mergeCell ref="A9:G9"/>
    <mergeCell ref="A67:G67"/>
    <mergeCell ref="A7:H7"/>
  </mergeCells>
  <pageMargins left="0.7" right="0.7" top="0.75" bottom="0.75" header="0.3" footer="0.3"/>
  <pageSetup paperSize="17" scale="43"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64"/>
  <sheetViews>
    <sheetView zoomScaleNormal="100" workbookViewId="0">
      <selection activeCell="C46" sqref="C46:E46"/>
    </sheetView>
  </sheetViews>
  <sheetFormatPr defaultRowHeight="14.4"/>
  <cols>
    <col min="1" max="1" width="9.109375" style="1"/>
    <col min="2" max="2" width="20.6640625" customWidth="1"/>
    <col min="3" max="3" width="40.6640625" customWidth="1"/>
    <col min="4" max="4" width="15.6640625" customWidth="1"/>
    <col min="5" max="5" width="18.33203125" customWidth="1"/>
  </cols>
  <sheetData>
    <row r="1" spans="1:5">
      <c r="A1" s="4" t="s">
        <v>13</v>
      </c>
      <c r="B1" s="225" t="s">
        <v>14</v>
      </c>
      <c r="C1" s="225"/>
      <c r="D1" s="225"/>
      <c r="E1" s="225"/>
    </row>
    <row r="2" spans="1:5" ht="81.75" customHeight="1">
      <c r="A2" s="1">
        <v>1</v>
      </c>
      <c r="B2" s="220" t="s">
        <v>16</v>
      </c>
      <c r="C2" s="220"/>
      <c r="D2" s="220"/>
      <c r="E2" s="220"/>
    </row>
    <row r="3" spans="1:5">
      <c r="B3" s="3"/>
      <c r="C3" s="3"/>
      <c r="D3" s="3"/>
      <c r="E3" s="3"/>
    </row>
    <row r="4" spans="1:5" ht="33" customHeight="1">
      <c r="A4" s="1">
        <v>2</v>
      </c>
      <c r="B4" s="220" t="s">
        <v>17</v>
      </c>
      <c r="C4" s="220"/>
      <c r="D4" s="220"/>
      <c r="E4" s="220"/>
    </row>
    <row r="5" spans="1:5">
      <c r="B5" s="3"/>
      <c r="C5" s="3"/>
      <c r="D5" s="3"/>
      <c r="E5" s="3"/>
    </row>
    <row r="6" spans="1:5" ht="36" customHeight="1">
      <c r="A6" s="1">
        <v>3</v>
      </c>
      <c r="B6" s="220" t="s">
        <v>172</v>
      </c>
      <c r="C6" s="220"/>
      <c r="D6" s="220"/>
      <c r="E6" s="220"/>
    </row>
    <row r="7" spans="1:5">
      <c r="B7" s="3"/>
      <c r="C7" s="3"/>
      <c r="D7" s="3"/>
      <c r="E7" s="3"/>
    </row>
    <row r="8" spans="1:5" ht="34.5" customHeight="1">
      <c r="A8" s="1">
        <v>4</v>
      </c>
      <c r="B8" s="221" t="s">
        <v>194</v>
      </c>
      <c r="C8" s="221"/>
      <c r="D8" s="7"/>
      <c r="E8" s="7"/>
    </row>
    <row r="9" spans="1:5" ht="18" customHeight="1">
      <c r="B9" s="226" t="s">
        <v>236</v>
      </c>
      <c r="C9" s="226"/>
      <c r="D9" s="10">
        <v>110315</v>
      </c>
    </row>
    <row r="10" spans="1:5" ht="18" customHeight="1">
      <c r="B10" s="220" t="s">
        <v>237</v>
      </c>
      <c r="C10" s="220"/>
      <c r="D10" s="9">
        <v>-27567.25</v>
      </c>
      <c r="E10" s="183"/>
    </row>
    <row r="11" spans="1:5" ht="18" customHeight="1">
      <c r="B11" s="226" t="s">
        <v>238</v>
      </c>
      <c r="C11" s="226"/>
      <c r="D11" s="11">
        <v>82945</v>
      </c>
      <c r="E11" s="183"/>
    </row>
    <row r="12" spans="1:5" ht="31.5" customHeight="1">
      <c r="B12" s="220" t="s">
        <v>239</v>
      </c>
      <c r="C12" s="220"/>
      <c r="D12" s="8">
        <f>125000-D11</f>
        <v>42055</v>
      </c>
      <c r="E12" s="183"/>
    </row>
    <row r="13" spans="1:5" ht="36.75" customHeight="1">
      <c r="B13" s="226" t="s">
        <v>240</v>
      </c>
      <c r="C13" s="226"/>
      <c r="D13" s="12">
        <f>SUM(D11:D12)</f>
        <v>125000</v>
      </c>
      <c r="E13" s="184"/>
    </row>
    <row r="14" spans="1:5" ht="18" customHeight="1">
      <c r="B14" s="3"/>
      <c r="C14" s="3"/>
      <c r="D14" s="14"/>
    </row>
    <row r="15" spans="1:5" ht="22.5" customHeight="1">
      <c r="A15" s="1">
        <v>5</v>
      </c>
      <c r="B15" s="220" t="s">
        <v>206</v>
      </c>
      <c r="C15" s="220"/>
      <c r="D15" s="220"/>
      <c r="E15" s="220"/>
    </row>
    <row r="16" spans="1:5">
      <c r="B16" s="3"/>
      <c r="C16" s="3"/>
      <c r="D16" s="3"/>
      <c r="E16" s="3"/>
    </row>
    <row r="17" spans="1:5" ht="31.5" customHeight="1">
      <c r="A17" s="1">
        <v>6</v>
      </c>
      <c r="B17" s="227" t="s">
        <v>241</v>
      </c>
      <c r="C17" s="227"/>
      <c r="D17" s="227"/>
      <c r="E17" s="227"/>
    </row>
    <row r="18" spans="1:5">
      <c r="B18" s="3"/>
      <c r="C18" s="3"/>
      <c r="D18" s="3"/>
      <c r="E18" s="3"/>
    </row>
    <row r="19" spans="1:5" ht="33" customHeight="1">
      <c r="A19" s="1">
        <v>7</v>
      </c>
      <c r="B19" s="220" t="s">
        <v>36</v>
      </c>
      <c r="C19" s="220"/>
      <c r="D19" s="220"/>
      <c r="E19" s="220"/>
    </row>
    <row r="20" spans="1:5" ht="14.25" customHeight="1">
      <c r="B20" s="3"/>
      <c r="C20" s="3"/>
      <c r="D20" s="3"/>
      <c r="E20" s="3"/>
    </row>
    <row r="21" spans="1:5" ht="47.25" customHeight="1">
      <c r="A21" s="1">
        <v>8</v>
      </c>
      <c r="B21" s="220" t="s">
        <v>37</v>
      </c>
      <c r="C21" s="220"/>
      <c r="D21" s="220"/>
      <c r="E21" s="220"/>
    </row>
    <row r="22" spans="1:5" ht="15" customHeight="1">
      <c r="B22" s="3"/>
      <c r="C22" s="3"/>
      <c r="D22" s="3"/>
      <c r="E22" s="3"/>
    </row>
    <row r="23" spans="1:5" ht="32.25" customHeight="1">
      <c r="A23" s="1">
        <v>9</v>
      </c>
      <c r="B23" s="220" t="s">
        <v>35</v>
      </c>
      <c r="C23" s="220"/>
      <c r="D23" s="220"/>
      <c r="E23" s="220"/>
    </row>
    <row r="24" spans="1:5" ht="15" customHeight="1">
      <c r="B24" s="3"/>
      <c r="C24" s="3"/>
      <c r="D24" s="3"/>
      <c r="E24" s="3"/>
    </row>
    <row r="25" spans="1:5" ht="33" customHeight="1">
      <c r="A25" s="1">
        <v>10</v>
      </c>
      <c r="B25" s="220" t="s">
        <v>38</v>
      </c>
      <c r="C25" s="220"/>
      <c r="D25" s="220"/>
      <c r="E25" s="220"/>
    </row>
    <row r="26" spans="1:5">
      <c r="B26" s="3"/>
      <c r="C26" s="3"/>
      <c r="D26" s="3"/>
      <c r="E26" s="3"/>
    </row>
    <row r="27" spans="1:5" ht="30" customHeight="1">
      <c r="A27" s="1">
        <v>11</v>
      </c>
      <c r="B27" s="220" t="s">
        <v>39</v>
      </c>
      <c r="C27" s="220"/>
      <c r="D27" s="220"/>
      <c r="E27" s="220"/>
    </row>
    <row r="28" spans="1:5">
      <c r="B28" s="3"/>
      <c r="C28" s="3"/>
      <c r="D28" s="3"/>
      <c r="E28" s="3"/>
    </row>
    <row r="29" spans="1:5" ht="31.5" customHeight="1">
      <c r="A29" s="1">
        <v>12</v>
      </c>
      <c r="B29" s="220" t="s">
        <v>40</v>
      </c>
      <c r="C29" s="220"/>
      <c r="D29" s="220"/>
      <c r="E29" s="220"/>
    </row>
    <row r="30" spans="1:5">
      <c r="B30" s="3"/>
      <c r="C30" s="3"/>
      <c r="D30" s="3"/>
      <c r="E30" s="3"/>
    </row>
    <row r="31" spans="1:5" ht="34.5" customHeight="1">
      <c r="A31" s="1">
        <v>13</v>
      </c>
      <c r="B31" s="220" t="s">
        <v>18</v>
      </c>
      <c r="C31" s="220"/>
      <c r="D31" s="220"/>
      <c r="E31" s="220"/>
    </row>
    <row r="32" spans="1:5" ht="16.5" customHeight="1">
      <c r="B32" s="3"/>
      <c r="C32" s="3"/>
      <c r="D32" s="3"/>
      <c r="E32" s="3"/>
    </row>
    <row r="33" spans="1:5" ht="64.5" customHeight="1">
      <c r="A33" s="1">
        <v>14</v>
      </c>
      <c r="B33" s="220" t="s">
        <v>19</v>
      </c>
      <c r="C33" s="220"/>
      <c r="D33" s="220"/>
      <c r="E33" s="220"/>
    </row>
    <row r="34" spans="1:5" ht="14.25" customHeight="1">
      <c r="B34" s="3"/>
      <c r="C34" s="3"/>
      <c r="D34" s="3"/>
      <c r="E34" s="3"/>
    </row>
    <row r="35" spans="1:5">
      <c r="A35" s="1">
        <v>15</v>
      </c>
      <c r="B35" s="221" t="s">
        <v>33</v>
      </c>
      <c r="C35" s="221"/>
      <c r="D35" s="221"/>
      <c r="E35" s="221"/>
    </row>
    <row r="36" spans="1:5">
      <c r="B36" s="13" t="s">
        <v>7</v>
      </c>
      <c r="C36" s="222" t="s">
        <v>20</v>
      </c>
      <c r="D36" s="222"/>
      <c r="E36" s="222"/>
    </row>
    <row r="37" spans="1:5">
      <c r="B37" s="5" t="s">
        <v>21</v>
      </c>
      <c r="C37" s="223" t="s">
        <v>28</v>
      </c>
      <c r="D37" s="223"/>
      <c r="E37" s="223"/>
    </row>
    <row r="38" spans="1:5">
      <c r="B38" s="13" t="s">
        <v>22</v>
      </c>
      <c r="C38" s="222" t="s">
        <v>29</v>
      </c>
      <c r="D38" s="222"/>
      <c r="E38" s="222"/>
    </row>
    <row r="39" spans="1:5">
      <c r="B39" s="5" t="s">
        <v>23</v>
      </c>
      <c r="C39" s="223" t="s">
        <v>32</v>
      </c>
      <c r="D39" s="223"/>
      <c r="E39" s="223"/>
    </row>
    <row r="40" spans="1:5">
      <c r="B40" s="13" t="s">
        <v>9</v>
      </c>
      <c r="C40" s="222" t="s">
        <v>30</v>
      </c>
      <c r="D40" s="222"/>
      <c r="E40" s="222"/>
    </row>
    <row r="41" spans="1:5">
      <c r="B41" s="5" t="s">
        <v>8</v>
      </c>
      <c r="C41" s="223" t="s">
        <v>24</v>
      </c>
      <c r="D41" s="223"/>
      <c r="E41" s="223"/>
    </row>
    <row r="42" spans="1:5">
      <c r="B42" s="13" t="s">
        <v>25</v>
      </c>
      <c r="C42" s="222" t="s">
        <v>26</v>
      </c>
      <c r="D42" s="222"/>
      <c r="E42" s="222"/>
    </row>
    <row r="43" spans="1:5">
      <c r="B43" s="5" t="s">
        <v>27</v>
      </c>
      <c r="C43" s="223" t="s">
        <v>31</v>
      </c>
      <c r="D43" s="223"/>
      <c r="E43" s="223"/>
    </row>
    <row r="44" spans="1:5">
      <c r="B44" s="5"/>
      <c r="C44" s="6"/>
      <c r="D44" s="6"/>
      <c r="E44" s="6"/>
    </row>
    <row r="45" spans="1:5">
      <c r="A45" s="1">
        <v>16</v>
      </c>
      <c r="B45" s="15" t="s">
        <v>60</v>
      </c>
      <c r="C45" s="6"/>
      <c r="D45" s="6"/>
      <c r="E45" s="6"/>
    </row>
    <row r="46" spans="1:5" ht="30" customHeight="1">
      <c r="B46" s="13" t="s">
        <v>48</v>
      </c>
      <c r="C46" s="222" t="s">
        <v>62</v>
      </c>
      <c r="D46" s="222"/>
      <c r="E46" s="222"/>
    </row>
    <row r="47" spans="1:5">
      <c r="B47" s="5" t="s">
        <v>49</v>
      </c>
      <c r="C47" s="223" t="s">
        <v>61</v>
      </c>
      <c r="D47" s="223"/>
      <c r="E47" s="223"/>
    </row>
    <row r="48" spans="1:5" ht="48.75" customHeight="1">
      <c r="B48" s="13" t="s">
        <v>50</v>
      </c>
      <c r="C48" s="222" t="s">
        <v>64</v>
      </c>
      <c r="D48" s="222"/>
      <c r="E48" s="222"/>
    </row>
    <row r="49" spans="1:5" ht="29.25" customHeight="1">
      <c r="B49" s="5" t="s">
        <v>51</v>
      </c>
      <c r="C49" s="223" t="s">
        <v>63</v>
      </c>
      <c r="D49" s="223"/>
      <c r="E49" s="223"/>
    </row>
    <row r="50" spans="1:5">
      <c r="B50" s="5"/>
      <c r="C50" s="6"/>
      <c r="D50" s="6"/>
      <c r="E50" s="6"/>
    </row>
    <row r="51" spans="1:5" ht="91.5" customHeight="1">
      <c r="A51" s="1">
        <v>17</v>
      </c>
      <c r="B51" s="224" t="s">
        <v>244</v>
      </c>
      <c r="C51" s="224"/>
      <c r="D51" s="224"/>
      <c r="E51" s="224"/>
    </row>
    <row r="52" spans="1:5">
      <c r="B52" s="5"/>
      <c r="C52" s="6"/>
      <c r="D52" s="6"/>
      <c r="E52" s="6"/>
    </row>
    <row r="53" spans="1:5">
      <c r="B53" s="5"/>
      <c r="C53" s="6"/>
      <c r="D53" s="6"/>
      <c r="E53" s="6"/>
    </row>
    <row r="54" spans="1:5">
      <c r="B54" s="5"/>
      <c r="C54" s="6"/>
      <c r="D54" s="6"/>
      <c r="E54" s="6"/>
    </row>
    <row r="55" spans="1:5">
      <c r="B55" s="5"/>
      <c r="C55" s="6"/>
      <c r="D55" s="6"/>
      <c r="E55" s="6"/>
    </row>
    <row r="56" spans="1:5">
      <c r="B56" s="5"/>
      <c r="C56" s="6"/>
      <c r="D56" s="6"/>
      <c r="E56" s="6"/>
    </row>
    <row r="57" spans="1:5">
      <c r="B57" s="5"/>
      <c r="C57" s="6"/>
      <c r="D57" s="6"/>
      <c r="E57" s="6"/>
    </row>
    <row r="58" spans="1:5">
      <c r="B58" s="5"/>
      <c r="C58" s="6"/>
      <c r="D58" s="6"/>
      <c r="E58" s="6"/>
    </row>
    <row r="59" spans="1:5">
      <c r="B59" s="5"/>
      <c r="C59" s="6"/>
      <c r="D59" s="6"/>
      <c r="E59" s="6"/>
    </row>
    <row r="60" spans="1:5">
      <c r="B60" s="5"/>
      <c r="C60" s="6"/>
      <c r="D60" s="6"/>
      <c r="E60" s="6"/>
    </row>
    <row r="62" spans="1:5">
      <c r="B62" s="2"/>
    </row>
    <row r="63" spans="1:5">
      <c r="A63" s="219" t="s">
        <v>204</v>
      </c>
      <c r="B63" s="219"/>
      <c r="C63" s="219"/>
      <c r="D63" s="219"/>
      <c r="E63" s="219"/>
    </row>
    <row r="64" spans="1:5">
      <c r="A64" s="195" t="s">
        <v>205</v>
      </c>
    </row>
  </sheetData>
  <mergeCells count="35">
    <mergeCell ref="B17:E17"/>
    <mergeCell ref="C46:E46"/>
    <mergeCell ref="C47:E47"/>
    <mergeCell ref="C49:E49"/>
    <mergeCell ref="C48:E48"/>
    <mergeCell ref="B29:E29"/>
    <mergeCell ref="B31:E31"/>
    <mergeCell ref="B33:E33"/>
    <mergeCell ref="B25:E25"/>
    <mergeCell ref="B27:E27"/>
    <mergeCell ref="B1:E1"/>
    <mergeCell ref="B2:E2"/>
    <mergeCell ref="B4:E4"/>
    <mergeCell ref="B15:E15"/>
    <mergeCell ref="B10:C10"/>
    <mergeCell ref="B11:C11"/>
    <mergeCell ref="B13:C13"/>
    <mergeCell ref="B12:C12"/>
    <mergeCell ref="B8:C8"/>
    <mergeCell ref="B9:C9"/>
    <mergeCell ref="B6:E6"/>
    <mergeCell ref="A63:E63"/>
    <mergeCell ref="B19:E19"/>
    <mergeCell ref="B35:E35"/>
    <mergeCell ref="C36:E36"/>
    <mergeCell ref="C37:E37"/>
    <mergeCell ref="C38:E38"/>
    <mergeCell ref="C39:E39"/>
    <mergeCell ref="C40:E40"/>
    <mergeCell ref="C41:E41"/>
    <mergeCell ref="C42:E42"/>
    <mergeCell ref="C43:E43"/>
    <mergeCell ref="B21:E21"/>
    <mergeCell ref="B23:E23"/>
    <mergeCell ref="B51:E51"/>
  </mergeCells>
  <pageMargins left="0.25" right="0.25" top="0.75" bottom="0.75" header="0.3" footer="0.3"/>
  <pageSetup orientation="portrait" horizontalDpi="1200" verticalDpi="1200" r:id="rId1"/>
  <headerFooter>
    <oddHeader>&amp;L&amp;"-,Bold"&amp;12Federal Funds Ledger Notes&amp;RPrinted &amp;D</oddHeader>
    <oddFooter>&amp;L&amp;8&amp;Z&amp;F&amp;C&amp;P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I14"/>
  <sheetViews>
    <sheetView workbookViewId="0">
      <selection activeCell="C6" sqref="C6"/>
    </sheetView>
  </sheetViews>
  <sheetFormatPr defaultRowHeight="14.4"/>
  <cols>
    <col min="2" max="2" width="25.109375" customWidth="1"/>
    <col min="3" max="3" width="9.44140625" bestFit="1" customWidth="1"/>
    <col min="6" max="6" width="12.6640625" customWidth="1"/>
    <col min="7" max="7" width="9.109375"/>
    <col min="8" max="8" width="25.109375" customWidth="1"/>
    <col min="9" max="9" width="9.44140625" bestFit="1" customWidth="1"/>
    <col min="10" max="11" width="9.109375"/>
    <col min="12" max="12" width="12.6640625" customWidth="1"/>
    <col min="13" max="13" width="9.109375"/>
    <col min="14" max="14" width="25.109375" customWidth="1"/>
    <col min="15" max="15" width="9.109375"/>
    <col min="16" max="16" width="11.5546875" bestFit="1" customWidth="1"/>
    <col min="17" max="17" width="9.109375"/>
    <col min="18" max="18" width="13.33203125" customWidth="1"/>
    <col min="19" max="19" width="9.109375"/>
    <col min="20" max="20" width="25.109375" customWidth="1"/>
    <col min="21" max="21" width="9.109375"/>
    <col min="22" max="22" width="11.5546875" bestFit="1" customWidth="1"/>
    <col min="23" max="23" width="9.109375"/>
    <col min="24" max="24" width="13.33203125" customWidth="1"/>
    <col min="26" max="26" width="41.5546875" customWidth="1"/>
    <col min="32" max="32" width="41.5546875" customWidth="1"/>
  </cols>
  <sheetData>
    <row r="1" spans="1:35" ht="15" thickBot="1">
      <c r="A1" s="228" t="s">
        <v>156</v>
      </c>
      <c r="B1" s="229"/>
      <c r="C1" s="230" t="s">
        <v>243</v>
      </c>
      <c r="D1" s="231"/>
      <c r="E1" s="232"/>
      <c r="G1" s="228" t="s">
        <v>156</v>
      </c>
      <c r="H1" s="229"/>
      <c r="I1" s="230" t="s">
        <v>222</v>
      </c>
      <c r="J1" s="231"/>
      <c r="K1" s="232"/>
      <c r="M1" s="228" t="s">
        <v>156</v>
      </c>
      <c r="N1" s="229"/>
      <c r="O1" s="230" t="s">
        <v>203</v>
      </c>
      <c r="P1" s="231"/>
      <c r="Q1" s="232"/>
      <c r="S1" s="228" t="s">
        <v>156</v>
      </c>
      <c r="T1" s="229"/>
      <c r="U1" s="230" t="s">
        <v>193</v>
      </c>
      <c r="V1" s="231"/>
      <c r="W1" s="232"/>
      <c r="Y1" s="228" t="s">
        <v>156</v>
      </c>
      <c r="Z1" s="229"/>
      <c r="AA1" s="230" t="s">
        <v>173</v>
      </c>
      <c r="AB1" s="231"/>
      <c r="AC1" s="232"/>
      <c r="AE1" s="228" t="s">
        <v>156</v>
      </c>
      <c r="AF1" s="229"/>
      <c r="AG1" s="230" t="s">
        <v>171</v>
      </c>
      <c r="AH1" s="231"/>
      <c r="AI1" s="232"/>
    </row>
    <row r="2" spans="1:35">
      <c r="A2" s="117" t="s">
        <v>157</v>
      </c>
      <c r="B2" s="118" t="s">
        <v>158</v>
      </c>
      <c r="C2" s="126" t="s">
        <v>166</v>
      </c>
      <c r="D2" s="127" t="s">
        <v>167</v>
      </c>
      <c r="E2" s="128" t="s">
        <v>10</v>
      </c>
      <c r="G2" s="117" t="s">
        <v>157</v>
      </c>
      <c r="H2" s="118" t="s">
        <v>158</v>
      </c>
      <c r="I2" s="126" t="s">
        <v>166</v>
      </c>
      <c r="J2" s="127" t="s">
        <v>167</v>
      </c>
      <c r="K2" s="128" t="s">
        <v>10</v>
      </c>
      <c r="M2" s="117" t="s">
        <v>157</v>
      </c>
      <c r="N2" s="118" t="s">
        <v>158</v>
      </c>
      <c r="O2" s="126" t="s">
        <v>166</v>
      </c>
      <c r="P2" s="127" t="s">
        <v>167</v>
      </c>
      <c r="Q2" s="128" t="s">
        <v>10</v>
      </c>
      <c r="S2" s="117" t="s">
        <v>157</v>
      </c>
      <c r="T2" s="118" t="s">
        <v>158</v>
      </c>
      <c r="U2" s="126" t="s">
        <v>166</v>
      </c>
      <c r="V2" s="127" t="s">
        <v>167</v>
      </c>
      <c r="W2" s="128" t="s">
        <v>10</v>
      </c>
      <c r="Y2" s="117" t="s">
        <v>157</v>
      </c>
      <c r="Z2" s="118" t="s">
        <v>158</v>
      </c>
      <c r="AA2" s="126" t="s">
        <v>166</v>
      </c>
      <c r="AB2" s="127" t="s">
        <v>167</v>
      </c>
      <c r="AC2" s="128" t="s">
        <v>10</v>
      </c>
      <c r="AE2" s="117" t="s">
        <v>157</v>
      </c>
      <c r="AF2" s="118" t="s">
        <v>158</v>
      </c>
      <c r="AG2" s="126" t="s">
        <v>166</v>
      </c>
      <c r="AH2" s="127" t="s">
        <v>167</v>
      </c>
      <c r="AI2" s="128" t="s">
        <v>10</v>
      </c>
    </row>
    <row r="3" spans="1:35">
      <c r="A3" s="119" t="s">
        <v>159</v>
      </c>
      <c r="B3" s="120" t="s">
        <v>160</v>
      </c>
      <c r="C3" s="119"/>
      <c r="D3" s="192">
        <v>125000</v>
      </c>
      <c r="E3" s="123">
        <f>+D3+C3</f>
        <v>125000</v>
      </c>
      <c r="G3" s="119" t="s">
        <v>159</v>
      </c>
      <c r="H3" s="120" t="s">
        <v>160</v>
      </c>
      <c r="I3" s="119"/>
      <c r="J3" s="192">
        <v>125000</v>
      </c>
      <c r="K3" s="123">
        <f>+J3+I3</f>
        <v>125000</v>
      </c>
      <c r="M3" s="119" t="s">
        <v>159</v>
      </c>
      <c r="N3" s="120" t="s">
        <v>160</v>
      </c>
      <c r="O3" s="119"/>
      <c r="P3" s="122">
        <v>125000</v>
      </c>
      <c r="Q3" s="123">
        <v>125000</v>
      </c>
      <c r="S3" s="119" t="s">
        <v>159</v>
      </c>
      <c r="T3" s="120" t="s">
        <v>160</v>
      </c>
      <c r="U3" s="119"/>
      <c r="V3" s="122">
        <v>125000</v>
      </c>
      <c r="W3" s="123">
        <f>+V3+U3</f>
        <v>125000</v>
      </c>
      <c r="Y3" s="119" t="s">
        <v>159</v>
      </c>
      <c r="Z3" s="120" t="s">
        <v>160</v>
      </c>
      <c r="AA3" s="119"/>
      <c r="AB3" s="122">
        <v>125000</v>
      </c>
      <c r="AC3" s="123">
        <f>+AB3+AA3</f>
        <v>125000</v>
      </c>
      <c r="AE3" s="119" t="s">
        <v>159</v>
      </c>
      <c r="AF3" s="120" t="s">
        <v>160</v>
      </c>
      <c r="AG3" s="119">
        <f>C3-I3</f>
        <v>0</v>
      </c>
      <c r="AH3" s="122">
        <f t="shared" ref="AH3:AI11" si="0">D3-J3</f>
        <v>0</v>
      </c>
      <c r="AI3" s="123">
        <f t="shared" si="0"/>
        <v>0</v>
      </c>
    </row>
    <row r="4" spans="1:35">
      <c r="A4" s="119" t="s">
        <v>159</v>
      </c>
      <c r="B4" s="120" t="s">
        <v>161</v>
      </c>
      <c r="C4" s="119"/>
      <c r="D4" s="122"/>
      <c r="E4" s="123">
        <f t="shared" ref="E4:E9" si="1">+D4+C4</f>
        <v>0</v>
      </c>
      <c r="G4" s="119" t="s">
        <v>159</v>
      </c>
      <c r="H4" s="120" t="s">
        <v>161</v>
      </c>
      <c r="I4" s="119"/>
      <c r="J4" s="122"/>
      <c r="K4" s="123">
        <f t="shared" ref="K4:K5" si="2">+J4+I4</f>
        <v>0</v>
      </c>
      <c r="M4" s="119" t="s">
        <v>159</v>
      </c>
      <c r="N4" s="120" t="s">
        <v>161</v>
      </c>
      <c r="O4" s="119"/>
      <c r="P4" s="122"/>
      <c r="Q4" s="123">
        <v>0</v>
      </c>
      <c r="S4" s="119" t="s">
        <v>159</v>
      </c>
      <c r="T4" s="120" t="s">
        <v>161</v>
      </c>
      <c r="U4" s="119"/>
      <c r="V4" s="122"/>
      <c r="W4" s="123">
        <f t="shared" ref="W4:W5" si="3">+V4+U4</f>
        <v>0</v>
      </c>
      <c r="Y4" s="119" t="s">
        <v>159</v>
      </c>
      <c r="Z4" s="120" t="s">
        <v>161</v>
      </c>
      <c r="AA4" s="119"/>
      <c r="AB4" s="122"/>
      <c r="AC4" s="123">
        <f t="shared" ref="AC4:AC10" si="4">+AB4+AA4</f>
        <v>0</v>
      </c>
      <c r="AE4" s="119" t="s">
        <v>159</v>
      </c>
      <c r="AF4" s="120" t="s">
        <v>161</v>
      </c>
      <c r="AG4" s="119">
        <f t="shared" ref="AG4:AG11" si="5">C4-I4</f>
        <v>0</v>
      </c>
      <c r="AH4" s="122">
        <f t="shared" si="0"/>
        <v>0</v>
      </c>
      <c r="AI4" s="123">
        <f t="shared" si="0"/>
        <v>0</v>
      </c>
    </row>
    <row r="5" spans="1:35">
      <c r="A5" s="119" t="s">
        <v>159</v>
      </c>
      <c r="B5" s="120" t="s">
        <v>162</v>
      </c>
      <c r="C5" s="193">
        <f>ROUND(I5*1.02,0)</f>
        <v>162938</v>
      </c>
      <c r="D5" s="122"/>
      <c r="E5" s="123">
        <f t="shared" si="1"/>
        <v>162938</v>
      </c>
      <c r="G5" s="119" t="s">
        <v>159</v>
      </c>
      <c r="H5" s="120" t="s">
        <v>162</v>
      </c>
      <c r="I5" s="193">
        <v>159743.02499999999</v>
      </c>
      <c r="J5" s="122"/>
      <c r="K5" s="123">
        <f t="shared" si="2"/>
        <v>159743.02499999999</v>
      </c>
      <c r="M5" s="119" t="s">
        <v>159</v>
      </c>
      <c r="N5" s="120" t="s">
        <v>162</v>
      </c>
      <c r="O5" s="119">
        <v>156611.32500000001</v>
      </c>
      <c r="P5" s="122"/>
      <c r="Q5" s="123">
        <v>156611.32500000001</v>
      </c>
      <c r="S5" s="119" t="s">
        <v>159</v>
      </c>
      <c r="T5" s="120" t="s">
        <v>162</v>
      </c>
      <c r="U5" s="119">
        <v>153540</v>
      </c>
      <c r="V5" s="122"/>
      <c r="W5" s="123">
        <f t="shared" si="3"/>
        <v>153540</v>
      </c>
      <c r="Y5" s="119" t="s">
        <v>159</v>
      </c>
      <c r="Z5" s="120" t="s">
        <v>162</v>
      </c>
      <c r="AA5" s="119">
        <v>150530</v>
      </c>
      <c r="AB5" s="122"/>
      <c r="AC5" s="123">
        <f t="shared" si="4"/>
        <v>150530</v>
      </c>
      <c r="AE5" s="119" t="s">
        <v>159</v>
      </c>
      <c r="AF5" s="120" t="s">
        <v>162</v>
      </c>
      <c r="AG5" s="119">
        <f t="shared" si="5"/>
        <v>3194.9750000000058</v>
      </c>
      <c r="AH5" s="122">
        <f t="shared" si="0"/>
        <v>0</v>
      </c>
      <c r="AI5" s="123">
        <f t="shared" si="0"/>
        <v>3194.9750000000058</v>
      </c>
    </row>
    <row r="6" spans="1:35">
      <c r="A6" s="119" t="s">
        <v>159</v>
      </c>
      <c r="B6" s="120" t="s">
        <v>188</v>
      </c>
      <c r="C6" s="193">
        <f>ROUND(I6*1.02,0)</f>
        <v>4178</v>
      </c>
      <c r="D6" s="122"/>
      <c r="E6" s="123"/>
      <c r="G6" s="119" t="s">
        <v>159</v>
      </c>
      <c r="H6" s="120" t="s">
        <v>188</v>
      </c>
      <c r="I6" s="193">
        <v>4095.9750000000004</v>
      </c>
      <c r="J6" s="122"/>
      <c r="K6" s="123"/>
      <c r="M6" s="119" t="s">
        <v>159</v>
      </c>
      <c r="N6" s="120" t="s">
        <v>188</v>
      </c>
      <c r="O6" s="119">
        <v>4015.6750000000002</v>
      </c>
      <c r="P6" s="122"/>
      <c r="Q6" s="123"/>
      <c r="S6" s="119" t="s">
        <v>159</v>
      </c>
      <c r="T6" s="120" t="s">
        <v>188</v>
      </c>
      <c r="U6" s="119">
        <v>3937</v>
      </c>
      <c r="V6" s="122"/>
      <c r="W6" s="123"/>
      <c r="Y6" s="119" t="s">
        <v>159</v>
      </c>
      <c r="Z6" s="120" t="s">
        <v>188</v>
      </c>
      <c r="AA6" s="119">
        <v>3860</v>
      </c>
      <c r="AB6" s="122"/>
      <c r="AC6" s="123">
        <f t="shared" si="4"/>
        <v>3860</v>
      </c>
      <c r="AE6" s="119" t="s">
        <v>159</v>
      </c>
      <c r="AF6" s="120" t="s">
        <v>188</v>
      </c>
      <c r="AG6" s="119">
        <f t="shared" si="5"/>
        <v>82.024999999999636</v>
      </c>
      <c r="AH6" s="122">
        <f t="shared" si="0"/>
        <v>0</v>
      </c>
      <c r="AI6" s="123">
        <f t="shared" si="0"/>
        <v>0</v>
      </c>
    </row>
    <row r="7" spans="1:35">
      <c r="A7" s="119" t="s">
        <v>159</v>
      </c>
      <c r="B7" s="120" t="s">
        <v>130</v>
      </c>
      <c r="C7" s="119"/>
      <c r="D7" s="192">
        <v>0</v>
      </c>
      <c r="E7" s="123">
        <f t="shared" si="1"/>
        <v>0</v>
      </c>
      <c r="G7" s="119" t="s">
        <v>159</v>
      </c>
      <c r="H7" s="120" t="s">
        <v>130</v>
      </c>
      <c r="I7" s="119"/>
      <c r="J7" s="192">
        <v>0</v>
      </c>
      <c r="K7" s="123">
        <f t="shared" ref="K7" si="6">+J7+I7</f>
        <v>0</v>
      </c>
      <c r="M7" s="119" t="s">
        <v>159</v>
      </c>
      <c r="N7" s="120" t="s">
        <v>130</v>
      </c>
      <c r="O7" s="119"/>
      <c r="P7" s="122">
        <v>0</v>
      </c>
      <c r="Q7" s="123">
        <v>0</v>
      </c>
      <c r="S7" s="119" t="s">
        <v>159</v>
      </c>
      <c r="T7" s="120" t="s">
        <v>130</v>
      </c>
      <c r="U7" s="119"/>
      <c r="V7" s="122">
        <v>0</v>
      </c>
      <c r="W7" s="123">
        <f t="shared" ref="W7" si="7">+V7+U7</f>
        <v>0</v>
      </c>
      <c r="Y7" s="119" t="s">
        <v>159</v>
      </c>
      <c r="Z7" s="120" t="s">
        <v>130</v>
      </c>
      <c r="AA7" s="119"/>
      <c r="AB7" s="122">
        <v>0</v>
      </c>
      <c r="AC7" s="123">
        <f t="shared" si="4"/>
        <v>0</v>
      </c>
      <c r="AE7" s="119" t="s">
        <v>159</v>
      </c>
      <c r="AF7" s="120" t="s">
        <v>130</v>
      </c>
      <c r="AG7" s="119">
        <f t="shared" si="5"/>
        <v>0</v>
      </c>
      <c r="AH7" s="122">
        <f t="shared" si="0"/>
        <v>0</v>
      </c>
      <c r="AI7" s="123">
        <f t="shared" si="0"/>
        <v>0</v>
      </c>
    </row>
    <row r="8" spans="1:35">
      <c r="A8" s="119" t="s">
        <v>159</v>
      </c>
      <c r="B8" s="120" t="s">
        <v>182</v>
      </c>
      <c r="C8" s="119"/>
      <c r="D8" s="192">
        <v>303658</v>
      </c>
      <c r="E8" s="123"/>
      <c r="G8" s="119" t="s">
        <v>159</v>
      </c>
      <c r="H8" s="120" t="s">
        <v>182</v>
      </c>
      <c r="I8" s="119"/>
      <c r="J8" s="192">
        <v>303658</v>
      </c>
      <c r="K8" s="123"/>
      <c r="M8" s="119" t="s">
        <v>159</v>
      </c>
      <c r="N8" s="120" t="s">
        <v>182</v>
      </c>
      <c r="O8" s="119"/>
      <c r="P8" s="122">
        <v>290818</v>
      </c>
      <c r="Q8" s="123"/>
      <c r="S8" s="119" t="s">
        <v>159</v>
      </c>
      <c r="T8" s="120" t="s">
        <v>182</v>
      </c>
      <c r="U8" s="119"/>
      <c r="V8" s="122">
        <v>290818</v>
      </c>
      <c r="W8" s="123"/>
      <c r="Y8" s="119" t="s">
        <v>159</v>
      </c>
      <c r="Z8" s="120" t="s">
        <v>182</v>
      </c>
      <c r="AA8" s="119"/>
      <c r="AB8" s="122">
        <v>290818</v>
      </c>
      <c r="AC8" s="123">
        <f t="shared" si="4"/>
        <v>290818</v>
      </c>
      <c r="AE8" s="119" t="s">
        <v>159</v>
      </c>
      <c r="AF8" s="120" t="s">
        <v>182</v>
      </c>
      <c r="AG8" s="119">
        <f t="shared" si="5"/>
        <v>0</v>
      </c>
      <c r="AH8" s="122">
        <f t="shared" si="0"/>
        <v>0</v>
      </c>
      <c r="AI8" s="123">
        <f t="shared" si="0"/>
        <v>0</v>
      </c>
    </row>
    <row r="9" spans="1:35">
      <c r="A9" s="119" t="s">
        <v>159</v>
      </c>
      <c r="B9" s="120" t="s">
        <v>163</v>
      </c>
      <c r="C9" s="119"/>
      <c r="D9" s="192">
        <v>8390</v>
      </c>
      <c r="E9" s="123">
        <f t="shared" si="1"/>
        <v>8390</v>
      </c>
      <c r="G9" s="119" t="s">
        <v>159</v>
      </c>
      <c r="H9" s="120" t="s">
        <v>163</v>
      </c>
      <c r="I9" s="119"/>
      <c r="J9" s="192">
        <v>8390</v>
      </c>
      <c r="K9" s="123">
        <f t="shared" ref="K9" si="8">+J9+I9</f>
        <v>8390</v>
      </c>
      <c r="M9" s="119" t="s">
        <v>159</v>
      </c>
      <c r="N9" s="120" t="s">
        <v>163</v>
      </c>
      <c r="O9" s="119"/>
      <c r="P9" s="122">
        <v>13217</v>
      </c>
      <c r="Q9" s="123">
        <v>13217</v>
      </c>
      <c r="S9" s="119" t="s">
        <v>159</v>
      </c>
      <c r="T9" s="120" t="s">
        <v>163</v>
      </c>
      <c r="U9" s="119"/>
      <c r="V9" s="122">
        <v>13217</v>
      </c>
      <c r="W9" s="123">
        <f t="shared" ref="W9" si="9">+V9+U9</f>
        <v>13217</v>
      </c>
      <c r="Y9" s="119" t="s">
        <v>159</v>
      </c>
      <c r="Z9" s="120" t="s">
        <v>163</v>
      </c>
      <c r="AA9" s="119"/>
      <c r="AB9" s="122">
        <v>13217</v>
      </c>
      <c r="AC9" s="123">
        <f t="shared" si="4"/>
        <v>13217</v>
      </c>
      <c r="AE9" s="119" t="s">
        <v>159</v>
      </c>
      <c r="AF9" s="151" t="s">
        <v>163</v>
      </c>
      <c r="AG9" s="119">
        <f t="shared" si="5"/>
        <v>0</v>
      </c>
      <c r="AH9" s="122">
        <f t="shared" si="0"/>
        <v>0</v>
      </c>
      <c r="AI9" s="123">
        <f t="shared" si="0"/>
        <v>0</v>
      </c>
    </row>
    <row r="10" spans="1:35">
      <c r="A10" s="119" t="s">
        <v>159</v>
      </c>
      <c r="B10" s="151" t="s">
        <v>189</v>
      </c>
      <c r="C10" s="193">
        <f>ROUND(I10*1.02,0)</f>
        <v>130902</v>
      </c>
      <c r="D10" s="153"/>
      <c r="E10" s="123"/>
      <c r="G10" s="119" t="s">
        <v>159</v>
      </c>
      <c r="H10" s="151" t="s">
        <v>189</v>
      </c>
      <c r="I10" s="193">
        <v>128335</v>
      </c>
      <c r="J10" s="153"/>
      <c r="K10" s="123"/>
      <c r="M10" s="119" t="s">
        <v>159</v>
      </c>
      <c r="N10" s="151" t="s">
        <v>189</v>
      </c>
      <c r="O10" s="119">
        <v>125819</v>
      </c>
      <c r="P10" s="153"/>
      <c r="Q10" s="123"/>
      <c r="S10" s="119" t="s">
        <v>159</v>
      </c>
      <c r="T10" s="151" t="s">
        <v>189</v>
      </c>
      <c r="U10" s="119">
        <v>124937</v>
      </c>
      <c r="V10" s="153"/>
      <c r="W10" s="123"/>
      <c r="Y10" s="119" t="s">
        <v>159</v>
      </c>
      <c r="Z10" s="151" t="s">
        <v>189</v>
      </c>
      <c r="AA10" s="119">
        <v>122487</v>
      </c>
      <c r="AB10" s="153"/>
      <c r="AC10" s="123">
        <f t="shared" si="4"/>
        <v>122487</v>
      </c>
      <c r="AE10" s="119" t="s">
        <v>159</v>
      </c>
      <c r="AF10" s="151" t="s">
        <v>189</v>
      </c>
      <c r="AG10" s="119">
        <f t="shared" si="5"/>
        <v>2567</v>
      </c>
      <c r="AH10" s="153">
        <f t="shared" si="0"/>
        <v>0</v>
      </c>
      <c r="AI10" s="123">
        <f t="shared" si="0"/>
        <v>0</v>
      </c>
    </row>
    <row r="11" spans="1:35">
      <c r="A11" s="119"/>
      <c r="B11" s="150" t="s">
        <v>164</v>
      </c>
      <c r="C11" s="147">
        <f>SUM(C3:C10)</f>
        <v>298018</v>
      </c>
      <c r="D11" s="124">
        <f t="shared" ref="D11" si="10">SUM(D3:D10)</f>
        <v>437048</v>
      </c>
      <c r="E11" s="197">
        <f>SUM(C11:D11)</f>
        <v>735066</v>
      </c>
      <c r="G11" s="119"/>
      <c r="H11" s="150" t="s">
        <v>164</v>
      </c>
      <c r="I11" s="147">
        <f>SUM(I3:I10)</f>
        <v>292174</v>
      </c>
      <c r="J11" s="124">
        <f t="shared" ref="J11" si="11">SUM(J3:J10)</f>
        <v>437048</v>
      </c>
      <c r="K11" s="197">
        <f>SUM(I11:J11)</f>
        <v>729222</v>
      </c>
      <c r="M11" s="119"/>
      <c r="N11" s="150" t="s">
        <v>164</v>
      </c>
      <c r="O11" s="147">
        <v>286446</v>
      </c>
      <c r="P11" s="124">
        <v>429035</v>
      </c>
      <c r="Q11" s="124">
        <v>715481</v>
      </c>
      <c r="S11" s="119"/>
      <c r="T11" s="150" t="s">
        <v>164</v>
      </c>
      <c r="U11" s="147">
        <f>SUM(U3:U10)</f>
        <v>282414</v>
      </c>
      <c r="V11" s="124">
        <f t="shared" ref="V11" si="12">SUM(V3:V10)</f>
        <v>429035</v>
      </c>
      <c r="W11" s="124">
        <f>SUM(U11:V11)</f>
        <v>711449</v>
      </c>
      <c r="Y11" s="119"/>
      <c r="Z11" s="150" t="s">
        <v>164</v>
      </c>
      <c r="AA11" s="147">
        <f>SUM(AA10)</f>
        <v>122487</v>
      </c>
      <c r="AB11" s="124">
        <f t="shared" ref="AB11" si="13">SUM(AB3:AB9)</f>
        <v>429035</v>
      </c>
      <c r="AC11" s="135">
        <f>SUM(AC3:AC10)</f>
        <v>705912</v>
      </c>
      <c r="AE11" s="119"/>
      <c r="AF11" s="150" t="s">
        <v>164</v>
      </c>
      <c r="AG11" s="147">
        <f t="shared" si="5"/>
        <v>5844</v>
      </c>
      <c r="AH11" s="124">
        <f t="shared" si="0"/>
        <v>0</v>
      </c>
      <c r="AI11" s="135">
        <f t="shared" si="0"/>
        <v>5844</v>
      </c>
    </row>
    <row r="12" spans="1:35" ht="15" thickBot="1">
      <c r="A12" s="119"/>
      <c r="B12" s="121" t="s">
        <v>165</v>
      </c>
      <c r="C12" s="233" t="s">
        <v>168</v>
      </c>
      <c r="D12" s="234"/>
      <c r="E12" s="125">
        <f>ROUND(E11*0.949,0)</f>
        <v>697578</v>
      </c>
      <c r="G12" s="119"/>
      <c r="H12" s="121" t="s">
        <v>165</v>
      </c>
      <c r="I12" s="233" t="s">
        <v>168</v>
      </c>
      <c r="J12" s="234"/>
      <c r="K12" s="125">
        <f>K11*0.949</f>
        <v>692031.67799999996</v>
      </c>
      <c r="M12" s="119"/>
      <c r="N12" s="121" t="s">
        <v>165</v>
      </c>
      <c r="O12" s="233" t="s">
        <v>168</v>
      </c>
      <c r="P12" s="234"/>
      <c r="Q12" s="125">
        <f>Q11*0.949</f>
        <v>678991.46899999992</v>
      </c>
      <c r="S12" s="119"/>
      <c r="T12" s="121" t="s">
        <v>165</v>
      </c>
      <c r="U12" s="233" t="s">
        <v>168</v>
      </c>
      <c r="V12" s="234"/>
      <c r="W12" s="125">
        <f>W11*0.949</f>
        <v>675165.10100000002</v>
      </c>
      <c r="Y12" s="119"/>
      <c r="Z12" s="121" t="s">
        <v>165</v>
      </c>
      <c r="AA12" s="233" t="s">
        <v>168</v>
      </c>
      <c r="AB12" s="234"/>
      <c r="AC12" s="125">
        <f>AC11*0.949</f>
        <v>669910.48800000001</v>
      </c>
      <c r="AE12" s="119"/>
      <c r="AF12" s="121" t="s">
        <v>165</v>
      </c>
      <c r="AG12" s="233" t="s">
        <v>168</v>
      </c>
      <c r="AH12" s="234"/>
      <c r="AI12" s="125">
        <f>AI11*0.949</f>
        <v>5545.9560000000001</v>
      </c>
    </row>
    <row r="13" spans="1:35">
      <c r="D13" t="s">
        <v>169</v>
      </c>
      <c r="J13" t="s">
        <v>169</v>
      </c>
      <c r="AI13" s="134"/>
    </row>
    <row r="14" spans="1:35">
      <c r="D14" s="16">
        <f>E12-'Federal Funds Transactions'!Y5</f>
        <v>0</v>
      </c>
      <c r="E14" t="s">
        <v>170</v>
      </c>
      <c r="J14" s="16">
        <f>K12-'Federal Funds Transactions'!AE5</f>
        <v>692031.67799999996</v>
      </c>
      <c r="K14" t="s">
        <v>170</v>
      </c>
      <c r="P14" s="16"/>
      <c r="V14" s="16"/>
    </row>
  </sheetData>
  <mergeCells count="18">
    <mergeCell ref="I1:K1"/>
    <mergeCell ref="I12:J12"/>
    <mergeCell ref="AE1:AF1"/>
    <mergeCell ref="AG1:AI1"/>
    <mergeCell ref="AG12:AH12"/>
    <mergeCell ref="A1:B1"/>
    <mergeCell ref="C1:E1"/>
    <mergeCell ref="C12:D12"/>
    <mergeCell ref="Y1:Z1"/>
    <mergeCell ref="AA1:AC1"/>
    <mergeCell ref="AA12:AB12"/>
    <mergeCell ref="M1:N1"/>
    <mergeCell ref="O1:Q1"/>
    <mergeCell ref="O12:P12"/>
    <mergeCell ref="S1:T1"/>
    <mergeCell ref="U1:W1"/>
    <mergeCell ref="U12:V12"/>
    <mergeCell ref="G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Federal Funds Transactions</vt:lpstr>
      <vt:lpstr>Regional Loans and Transfers</vt:lpstr>
      <vt:lpstr>Notes</vt:lpstr>
      <vt:lpstr>FY26 Apportionments</vt:lpstr>
      <vt:lpstr>'Federal Funds Transactions'!Print_Area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Katherine Koster</cp:lastModifiedBy>
  <cp:lastPrinted>2025-05-13T18:01:01Z</cp:lastPrinted>
  <dcterms:created xsi:type="dcterms:W3CDTF">2013-05-11T20:19:37Z</dcterms:created>
  <dcterms:modified xsi:type="dcterms:W3CDTF">2026-01-02T22:30:27Z</dcterms:modified>
</cp:coreProperties>
</file>