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comments1.xml" ContentType="application/vnd.openxmlformats-officedocument.spreadsheetml.comments+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mc:AlternateContent xmlns:mc="http://schemas.openxmlformats.org/markup-compatibility/2006">
    <mc:Choice Requires="x15">
      <x15ac:absPath xmlns:x15ac="http://schemas.microsoft.com/office/spreadsheetml/2010/11/ac" url="G:\FMS\RESOURCE\Fiscal Year Files\FY 2026\2026 Ledgers\FY 2026 - Current\"/>
    </mc:Choice>
  </mc:AlternateContent>
  <xr:revisionPtr revIDLastSave="0" documentId="13_ncr:1_{F016A50F-44BE-45AA-BB3D-E24631A0F268}" xr6:coauthVersionLast="47" xr6:coauthVersionMax="47" xr10:uidLastSave="{00000000-0000-0000-0000-000000000000}"/>
  <bookViews>
    <workbookView xWindow="-108" yWindow="-108" windowWidth="23256" windowHeight="12456" xr2:uid="{00000000-000D-0000-FFFF-FFFF00000000}"/>
  </bookViews>
  <sheets>
    <sheet name="Federal Funds Transactions" sheetId="1" r:id="rId1"/>
    <sheet name="Regional Loans and Transfers" sheetId="3" r:id="rId2"/>
    <sheet name="Notes" sheetId="2" r:id="rId3"/>
    <sheet name="FY26 Apportionments" sheetId="4" r:id="rId4"/>
  </sheets>
  <definedNames>
    <definedName name="CAG_ApportLoans_qry" localSheetId="1">'Regional Loans and Transfers'!#REF!</definedName>
    <definedName name="CAG_ApportTransfers_qry_1" localSheetId="1">'Regional Loans and Transfers'!#REF!</definedName>
    <definedName name="CAG_Ledger_Authorized" localSheetId="0" hidden="1">'Federal Funds Transactions'!#REF!</definedName>
    <definedName name="CAG_Ledger_Authorized.qry_1" localSheetId="0" hidden="1">'Federal Funds Transactions'!#REF!</definedName>
    <definedName name="CAG_Ledger_Not_Authorized" localSheetId="0" hidden="1">'Federal Funds Transactions'!#REF!</definedName>
    <definedName name="CAG_Ledger_NotAuthorized.qry" localSheetId="0" hidden="1">'Federal Funds Transactions'!#REF!</definedName>
    <definedName name="CAG_OALoans_qry" localSheetId="1">'Regional Loans and Transfers'!#REF!</definedName>
    <definedName name="CAG_OATransfers_qry" localSheetId="1">'Regional Loans and Transfers'!#REF!</definedName>
    <definedName name="_xlnm.Print_Area" localSheetId="0">'Federal Funds Transactions'!$A$1:$T$51</definedName>
    <definedName name="Query_from_MS_Access_Database" localSheetId="0" hidden="1">'Federal Funds Transactions'!$A$15:$W$21</definedName>
    <definedName name="Query_from_MS_Access_Database" localSheetId="1" hidden="1">'Regional Loans and Transfers'!$A$11:$AA$89</definedName>
    <definedName name="Query_from_MS_Access_Database_1" localSheetId="0" hidden="1">'Federal Funds Transactions'!$A$32:$W$38</definedName>
    <definedName name="Query_from_MS_Access_Database_1" localSheetId="1" hidden="1">'Regional Loans and Transfers'!$A$104:$AA$181</definedName>
    <definedName name="WACOGLedgerAuthorized" localSheetId="0" hidden="1">'Federal Funds Transactions'!#REF!</definedName>
    <definedName name="WACOGqryLedgerApports" localSheetId="1" hidden="1">'Regional Loans and Transfers'!#REF!</definedName>
    <definedName name="WACOGqryLedgerOA" localSheetId="1" hidden="1">'Regional Loans and Transfers'!#REF!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6" i="1" l="1"/>
  <c r="X17" i="1"/>
  <c r="X18" i="1"/>
  <c r="X19" i="1"/>
  <c r="X20" i="1"/>
  <c r="X21" i="1"/>
  <c r="X33" i="1"/>
  <c r="X34" i="1"/>
  <c r="X35" i="1"/>
  <c r="X36" i="1"/>
  <c r="X37" i="1"/>
  <c r="X38" i="1"/>
  <c r="C6" i="4" l="1"/>
  <c r="C5" i="4" l="1"/>
  <c r="AH5" i="4" l="1"/>
  <c r="AH6" i="4"/>
  <c r="AH7" i="4"/>
  <c r="AH8" i="4"/>
  <c r="AH9" i="4"/>
  <c r="AH10" i="4"/>
  <c r="AH11" i="4"/>
  <c r="AH4" i="4"/>
  <c r="AH3" i="4"/>
  <c r="AG4" i="4"/>
  <c r="AG5" i="4"/>
  <c r="AG6" i="4"/>
  <c r="AG7" i="4"/>
  <c r="AG8" i="4"/>
  <c r="AG9" i="4"/>
  <c r="AG10" i="4"/>
  <c r="AG11" i="4"/>
  <c r="AG3" i="4"/>
  <c r="Y8" i="1"/>
  <c r="AG12" i="4" l="1"/>
  <c r="D12" i="4"/>
  <c r="C12" i="4"/>
  <c r="E11" i="4"/>
  <c r="V5" i="1" s="1"/>
  <c r="E10" i="4"/>
  <c r="R5" i="1" s="1"/>
  <c r="E9" i="4"/>
  <c r="U5" i="1" s="1"/>
  <c r="E8" i="4"/>
  <c r="T5" i="1" s="1"/>
  <c r="E7" i="4"/>
  <c r="S5" i="1" s="1"/>
  <c r="E6" i="4"/>
  <c r="P5" i="1" s="1"/>
  <c r="E5" i="4"/>
  <c r="O5" i="1" s="1"/>
  <c r="E4" i="4"/>
  <c r="E3" i="4"/>
  <c r="Q5" i="1" s="1"/>
  <c r="Y11" i="1"/>
  <c r="W11" i="1"/>
  <c r="V11" i="1"/>
  <c r="U11" i="1"/>
  <c r="T11" i="1"/>
  <c r="S11" i="1"/>
  <c r="R11" i="1"/>
  <c r="Q11" i="1"/>
  <c r="P11" i="1"/>
  <c r="O11" i="1"/>
  <c r="N11" i="1"/>
  <c r="M11" i="1"/>
  <c r="Y10" i="1"/>
  <c r="W10" i="1"/>
  <c r="V10" i="1"/>
  <c r="U10" i="1"/>
  <c r="T10" i="1"/>
  <c r="S10" i="1"/>
  <c r="R10" i="1"/>
  <c r="Q10" i="1"/>
  <c r="P10" i="1"/>
  <c r="O10" i="1"/>
  <c r="N10" i="1"/>
  <c r="M10" i="1"/>
  <c r="Y9" i="1"/>
  <c r="W9" i="1"/>
  <c r="V9" i="1"/>
  <c r="U9" i="1"/>
  <c r="T9" i="1"/>
  <c r="S9" i="1"/>
  <c r="R9" i="1"/>
  <c r="Q9" i="1"/>
  <c r="P9" i="1"/>
  <c r="O9" i="1"/>
  <c r="N9" i="1"/>
  <c r="M9" i="1"/>
  <c r="W8" i="1"/>
  <c r="V8" i="1"/>
  <c r="U8" i="1"/>
  <c r="T8" i="1"/>
  <c r="S8" i="1"/>
  <c r="R8" i="1"/>
  <c r="Q8" i="1"/>
  <c r="P8" i="1"/>
  <c r="O8" i="1"/>
  <c r="N8" i="1"/>
  <c r="M8" i="1"/>
  <c r="Y7" i="1"/>
  <c r="W7" i="1"/>
  <c r="V7" i="1"/>
  <c r="U7" i="1"/>
  <c r="T7" i="1"/>
  <c r="S7" i="1"/>
  <c r="R7" i="1"/>
  <c r="Q7" i="1"/>
  <c r="P7" i="1"/>
  <c r="O7" i="1"/>
  <c r="N7" i="1"/>
  <c r="M7" i="1"/>
  <c r="Y6" i="1"/>
  <c r="W6" i="1"/>
  <c r="V6" i="1"/>
  <c r="U6" i="1"/>
  <c r="T6" i="1"/>
  <c r="S6" i="1"/>
  <c r="R6" i="1"/>
  <c r="Q6" i="1"/>
  <c r="P6" i="1"/>
  <c r="O6" i="1"/>
  <c r="N6" i="1"/>
  <c r="M6" i="1"/>
  <c r="E12" i="4" l="1"/>
  <c r="E13" i="4" s="1"/>
  <c r="B5" i="3" l="1"/>
  <c r="AI4" i="4" l="1"/>
  <c r="AI5" i="4"/>
  <c r="AI6" i="4"/>
  <c r="AI7" i="4"/>
  <c r="AI8" i="4"/>
  <c r="AI9" i="4"/>
  <c r="AI10" i="4"/>
  <c r="AI11" i="4"/>
  <c r="V12" i="4" l="1"/>
  <c r="U12" i="4"/>
  <c r="W11" i="4"/>
  <c r="W10" i="4"/>
  <c r="W9" i="4"/>
  <c r="W8" i="4"/>
  <c r="W7" i="4"/>
  <c r="W6" i="4"/>
  <c r="W5" i="4"/>
  <c r="W4" i="4"/>
  <c r="W3" i="4"/>
  <c r="W12" i="4" s="1"/>
  <c r="W13" i="4" s="1"/>
  <c r="V15" i="4" s="1"/>
  <c r="Q13" i="4" l="1"/>
  <c r="X11" i="1"/>
  <c r="X7" i="1" l="1"/>
  <c r="X8" i="1"/>
  <c r="X9" i="1"/>
  <c r="X10" i="1"/>
  <c r="X5" i="1"/>
  <c r="Y5" i="1" s="1"/>
  <c r="D15" i="4" s="1"/>
  <c r="X6" i="1"/>
  <c r="X4" i="1" l="1"/>
  <c r="V28" i="1"/>
  <c r="V42" i="1"/>
  <c r="W42" i="1"/>
  <c r="W28" i="1"/>
  <c r="D11" i="2"/>
  <c r="D13" i="2" s="1"/>
  <c r="E12" i="2"/>
  <c r="E10" i="2"/>
  <c r="T42" i="1"/>
  <c r="T28" i="1"/>
  <c r="R42" i="1"/>
  <c r="R28" i="1"/>
  <c r="O42" i="1"/>
  <c r="M42" i="1"/>
  <c r="S28" i="1"/>
  <c r="Q28" i="1"/>
  <c r="O28" i="1"/>
  <c r="N28" i="1"/>
  <c r="M28" i="1"/>
  <c r="N42" i="1"/>
  <c r="P42" i="1"/>
  <c r="Q42" i="1"/>
  <c r="S42" i="1"/>
  <c r="U42" i="1"/>
  <c r="P28" i="1"/>
  <c r="U28" i="1"/>
  <c r="W49" i="1"/>
  <c r="V49" i="1"/>
  <c r="U49" i="1"/>
  <c r="T49" i="1"/>
  <c r="S49" i="1"/>
  <c r="R49" i="1"/>
  <c r="Q49" i="1"/>
  <c r="P49" i="1"/>
  <c r="O49" i="1"/>
  <c r="N49" i="1"/>
  <c r="Y49" i="1"/>
  <c r="X42" i="1"/>
  <c r="AB12" i="4"/>
  <c r="AA12" i="4"/>
  <c r="AC4" i="4"/>
  <c r="AC5" i="4"/>
  <c r="AC6" i="4"/>
  <c r="AC7" i="4"/>
  <c r="AC8" i="4"/>
  <c r="AC9" i="4"/>
  <c r="AC10" i="4"/>
  <c r="AC11" i="4"/>
  <c r="K4" i="4"/>
  <c r="K5" i="4"/>
  <c r="K6" i="4"/>
  <c r="K7" i="4"/>
  <c r="K8" i="4"/>
  <c r="K9" i="4"/>
  <c r="K10" i="4"/>
  <c r="K11" i="4"/>
  <c r="J12" i="4"/>
  <c r="I12" i="4"/>
  <c r="AC3" i="4"/>
  <c r="K3" i="4"/>
  <c r="M49" i="1"/>
  <c r="A7" i="3"/>
  <c r="A1" i="3"/>
  <c r="R44" i="1" l="1"/>
  <c r="W44" i="1"/>
  <c r="U44" i="1"/>
  <c r="N44" i="1"/>
  <c r="Q44" i="1"/>
  <c r="O44" i="1"/>
  <c r="M44" i="1"/>
  <c r="K12" i="4"/>
  <c r="K13" i="4" s="1"/>
  <c r="S44" i="1"/>
  <c r="M12" i="1"/>
  <c r="M29" i="1" s="1"/>
  <c r="M43" i="1" s="1"/>
  <c r="M48" i="1" s="1"/>
  <c r="M51" i="1" s="1"/>
  <c r="Q12" i="1"/>
  <c r="Q29" i="1" s="1"/>
  <c r="Q43" i="1" s="1"/>
  <c r="Q48" i="1" s="1"/>
  <c r="Q51" i="1" s="1"/>
  <c r="V44" i="1"/>
  <c r="X28" i="1"/>
  <c r="X44" i="1" s="1"/>
  <c r="AI3" i="4"/>
  <c r="AC12" i="4"/>
  <c r="AC13" i="4" s="1"/>
  <c r="N12" i="1"/>
  <c r="N29" i="1" s="1"/>
  <c r="N43" i="1" s="1"/>
  <c r="N48" i="1" s="1"/>
  <c r="P12" i="1"/>
  <c r="P29" i="1" s="1"/>
  <c r="P43" i="1" s="1"/>
  <c r="P48" i="1" s="1"/>
  <c r="P50" i="1" s="1"/>
  <c r="S12" i="1"/>
  <c r="S29" i="1" s="1"/>
  <c r="S43" i="1" s="1"/>
  <c r="S48" i="1" s="1"/>
  <c r="S50" i="1" s="1"/>
  <c r="U12" i="1"/>
  <c r="U29" i="1" s="1"/>
  <c r="U43" i="1" s="1"/>
  <c r="U48" i="1" s="1"/>
  <c r="U50" i="1" s="1"/>
  <c r="T12" i="1"/>
  <c r="T29" i="1" s="1"/>
  <c r="T43" i="1" s="1"/>
  <c r="T48" i="1" s="1"/>
  <c r="T51" i="1" s="1"/>
  <c r="AH12" i="4"/>
  <c r="T44" i="1"/>
  <c r="W12" i="1"/>
  <c r="W29" i="1" s="1"/>
  <c r="W43" i="1" s="1"/>
  <c r="W48" i="1" s="1"/>
  <c r="W50" i="1" s="1"/>
  <c r="Y12" i="1"/>
  <c r="P44" i="1"/>
  <c r="X49" i="1"/>
  <c r="V12" i="1"/>
  <c r="V29" i="1" s="1"/>
  <c r="V43" i="1" s="1"/>
  <c r="V48" i="1" s="1"/>
  <c r="V51" i="1" s="1"/>
  <c r="X51" i="1" s="1"/>
  <c r="R12" i="1"/>
  <c r="R29" i="1" s="1"/>
  <c r="R43" i="1" s="1"/>
  <c r="R48" i="1" s="1"/>
  <c r="E11" i="2"/>
  <c r="O12" i="1"/>
  <c r="O29" i="1" s="1"/>
  <c r="O43" i="1" s="1"/>
  <c r="O48" i="1" s="1"/>
  <c r="Y33" i="1"/>
  <c r="Y34" i="1" s="1"/>
  <c r="Y35" i="1" s="1"/>
  <c r="Y36" i="1" s="1"/>
  <c r="Y37" i="1" s="1"/>
  <c r="Y38" i="1" s="1"/>
  <c r="Y16" i="1"/>
  <c r="Y17" i="1" s="1"/>
  <c r="Y18" i="1" s="1"/>
  <c r="Y19" i="1" s="1"/>
  <c r="Y20" i="1" s="1"/>
  <c r="Y21" i="1" s="1"/>
  <c r="P51" i="1" l="1"/>
  <c r="S51" i="1"/>
  <c r="W51" i="1"/>
  <c r="V50" i="1"/>
  <c r="M50" i="1"/>
  <c r="AI12" i="4"/>
  <c r="AI13" i="4" s="1"/>
  <c r="U51" i="1"/>
  <c r="Q50" i="1"/>
  <c r="T50" i="1"/>
  <c r="J15" i="4"/>
  <c r="X48" i="1"/>
  <c r="X50" i="1" s="1"/>
  <c r="N50" i="1"/>
  <c r="N51" i="1"/>
  <c r="O50" i="1"/>
  <c r="O51" i="1"/>
  <c r="R50" i="1"/>
  <c r="R51" i="1"/>
  <c r="X12" i="1"/>
  <c r="X29" i="1" s="1"/>
  <c r="X43" i="1" s="1"/>
  <c r="Y48" i="1" l="1"/>
  <c r="Y5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Katherine Koster</author>
  </authors>
  <commentList>
    <comment ref="V29" authorId="0" shapeId="0" xr:uid="{6ACB2763-5993-42F3-B612-A80A0C7D8FA5}">
      <text>
        <r>
          <rPr>
            <b/>
            <sz val="9"/>
            <color indexed="81"/>
            <rFont val="Tahoma"/>
            <family val="2"/>
          </rPr>
          <t>Katherine Koster:</t>
        </r>
        <r>
          <rPr>
            <sz val="9"/>
            <color indexed="81"/>
            <rFont val="Tahoma"/>
            <family val="2"/>
          </rPr>
          <t xml:space="preserve">
Tentatively applying to an ADOT project in partnership w/SCMPO; Jason James is contact</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Query from MS Access Database" type="1" refreshedVersion="8" background="1" saveData="1">
    <dbPr connection="DSN=MS Access Database;DBQ=G:\FMS\RESOURCE\ACCESS\010614 PBPF\011614 PBPF front.accdb;DefaultDir=G:\FMS\RESOURCE\ACCESS\010614 PBPF;DriverId=25;FIL=MS Access;MaxBufferSize=2048;PageTimeout=5;" command="SELECT `10-SUNMPO LEDGER`.`ADOT#`, `10-SUNMPO LEDGER`.`TIP#`, `10-SUNMPO LEDGER`.Sponsor, `10-SUNMPO LEDGER`.`Action/15`, `10-SUNMPO LEDGER`.Location, `10-SUNMPO LEDGER`.RTE, `10-SUNMPO LEDGER`.SEC, `10-SUNMPO LEDGER`.SEQ, `10-SUNMPO LEDGER`.`PB Expected`, `10-SUNMPO LEDGER`.`PB Received`, `10-SUNMPO LEDGER`.`PF Transmitted`, `10-SUNMPO LEDGER`.`Finance Authorization`, `10-SUNMPO LEDGER`.`HURF EXCHANGE` AS `HURF EX`, `10-SUNMPO LEDGER`.HSIP, `10-SUNMPO LEDGER`.PL, `10-SUNMPO LEDGER`.`PL-SATO`,  `10-SUNMPO LEDGER`.SPR, `10-SUNMPO LEDGER`.`STP &lt;5`, `10-SUNMPO LEDGER`.`STP 5-200`, `10-SUNMPO LEDGER`.`STP 5-50`, `10-SUNMPO LEDGER`.`STP 50-200`, `10-SUNMPO LEDGER`.`CRP 50-200`, `10-SUNMPO LEDGER`.`STP other`_x000d__x000a_FROM `G:\FMS\RESOURCE\ACCESS\010614 PBPF\011614 PBPF front.accdb`.`10-SUNMPO LEDGER` `10-SUNMPO LEDGER`_x000d__x000a_WHERE (`10-SUNMPO LEDGER`.`ADOT#`&lt;&gt;'Trick') AND (`10-SUNMPO LEDGER`.`Finance Authorization`&gt;=#10/1/2025# AND `10-SUNMPO LEDGER`.`Finance Authorization`&lt;=#9/30/2026#)_x000d__x000a_ORDER BY `10-SUNMPO LEDGER`.`Finance Authorization`"/>
  </connection>
  <connection id="2" xr16:uid="{00000000-0015-0000-FFFF-FFFF01000000}" name="Query from MS Access Database1" type="1" refreshedVersion="8" background="1" saveData="1">
    <dbPr connection="DSN=MS Access Database;DBQ=G:\FMS\RESOURCE\ACCESS\010614 PBPF\011614 PBPF front.accdb;DefaultDir=G:\FMS\RESOURCE\ACCESS\010614 PBPF;DriverId=25;FIL=MS Access;MaxBufferSize=2048;PageTimeout=5;" command="SELECT `10-SUNqryLedgerApportsCrosstab`.`Transaction Year`, `10-SUNqryLedgerApportsCrosstab`.`Transaction Type`, `10-SUNqryLedgerApportsCrosstab`.Number, `10-SUNqryLedgerApportsCrosstab`.`From`, `10-SUNqryLedgerApportsCrosstab`.To, `10-SUNqryLedgerApportsCrosstab`.`Repayment Year`, `10-SUNqryLedgerApportsCrosstab`.Project8, `10-SUNqryLedgerApportsCrosstab`.Notes, `10-SUNqryLedgerApportsCrosstab`.Total, `10-SUNqryLedgerApportsCrosstab`.CMAQ, `10-SUNqryLedgerApportsCrosstab`.`CMAQ 25`, `10-SUNqryLedgerApportsCrosstab`.`HURF Exchange`, `10-SUNqryLedgerApportsCrosstab`.HSIP, `10-SUNqryLedgerApportsCrosstab`.PLAN,`10-SUNqryLedgerApportsCrosstab`.`PLAN SATO`, `10-SUNqryLedgerApportsCrosstab`.SPR, `10-SUNqryLedgerApportsCrosstab`.`STP &lt;5`, `10-SUNqryLedgerApportsCrosstab`.`STP 5-2`,  `10-SUNqryLedgerApportsCrosstab`.`STP 5-50`,`10-SUNqryLedgerApportsCrosstab`.`STP 50-200`,`10-SUNqryLedgerApportsCrosstab`.`CRP 50-200`,`10-SUNqryLedgerApportsCrosstab`.`STP FLEX`, `10-SUNqryLedgerApportsCrosstab`.`STP &gt;200`, `10-SUNqryLedgerApportsCrosstab`.`TAP FLEX`, `10-SUNqryLedgerApportsCrosstab`.`TAP &gt;200`, `10-SUNqryLedgerApportsCrosstab`.`TAP &lt;5`, `10-SUNqryLedgerApportsCrosstab`.`TAP 5-2`_x000d__x000a_FROM `G:\FMS\RESOURCE\ACCESS\010614 PBPF\011614 PBPF front.accdb`.`10-SUNqryLedgerApportsCrosstab` `10-SUNqryLedgerApportsCrosstab`_x000d__x000a_WHERE (`10-SUNqryLedgerApportsCrosstab`.Total&lt;&gt;0)"/>
  </connection>
  <connection id="3" xr16:uid="{00000000-0015-0000-FFFF-FFFF02000000}" name="Query from MS Access Database2" type="1" refreshedVersion="8" background="1" saveData="1">
    <dbPr connection="DSN=MS Access Database;DBQ=G:\FMS\RESOURCE\ACCESS\010614 PBPF\011614 PBPF front.accdb;DefaultDir=G:\FMS\RESOURCE\ACCESS\010614 PBPF;DriverId=25;FIL=MS Access;MaxBufferSize=2048;PageTimeout=5;" command="SELECT `10-SUNqryLedgerOACrosstab`.`Transaction Year`, `10-SUNqryLedgerOACrosstab`.`Transaction Type`, `10-SUNqryLedgerOACrosstab`.Number, `10-SUNqryLedgerOACrosstab`.`From`, `10-SUNqryLedgerOACrosstab`.To, `10-SUNqryLedgerOACrosstab`.`Repayment Year`, `10-SUNqryLedgerOACrosstab`.Project8, `10-SUNqryLedgerOACrosstab`.Notes, `10-SUNqryLedgerOACrosstab`.Total, `10-SUNqryLedgerOACrosstab`.CMAQ, `10-SUNqryLedgerOACrosstab`.`CMAQ 25`, `10-SUNqryLedgerOACrosstab`.`HURF Exchange`, `10-SUNqryLedgerOACrosstab`.HSIP, `10-SUNqryLedgerOACrosstab`.PLAN, `10-SUNqryLedgerOACrosstab`.`PLAN SATO`,`10-SUNqryLedgerOACrosstab`.SPR, `10-SUNqryLedgerOACrosstab`.`STP &lt;5`, `10-SUNqryLedgerOACrosstab`.`STP 5-2`, `10-SUNqryLedgerOACrosstab`.`STP 5-50`,`10-SUNqryLedgerOACrosstab`.`STP 50-200`,`10-SUNqryLedgerOACrosstab`.`CRP 50-200`,`10-SUNqryLedgerOACrosstab`.`STP FLEX`, `10-SUNqryLedgerOACrosstab`.`STP &gt;200`, `10-SUNqryLedgerOACrosstab`.`TAP FLEX`, `10-SUNqryLedgerOACrosstab`.`TAP &gt;200`, `10-SUNqryLedgerOACrosstab`.`TAP &lt;5`, `10-SUNqryLedgerOACrosstab`.`TAP 5-2`_x000d__x000a_FROM `G:\FMS\RESOURCE\ACCESS\010614 PBPF\011614 PBPF front.accdb`.`10-SUNqryLedgerOACrosstab` `10-SUNqryLedgerOACrosstab`_x000d__x000a_WHERE (`10-SUNqryLedgerOACrosstab`.Total&lt;&gt;0)"/>
  </connection>
  <connection id="4" xr16:uid="{00000000-0015-0000-FFFF-FFFF03000000}" name="Query from MS Access Database3" type="1" refreshedVersion="8" background="1" saveData="1">
    <dbPr connection="DSN=MS Access Database;DBQ=G:\FMS\RESOURCE\ACCESS\010614 PBPF\011614 PBPF front.accdb;DefaultDir=G:\FMS\RESOURCE\ACCESS\010614 PBPF;DriverId=25;FIL=MS Access;MaxBufferSize=2048;PageTimeout=5;" command="SELECT `10-SUNMPO LEDGER`.`ADOT#`, `10-SUNMPO LEDGER`.`TIP#`, `10-SUNMPO LEDGER`.Sponsor, `10-SUNMPO LEDGER`.`Action/15`, `10-SUNMPO LEDGER`.Location, `10-SUNMPO LEDGER`.RTE, `10-SUNMPO LEDGER`.SEC, `10-SUNMPO LEDGER`.SEQ, `10-SUNMPO LEDGER`.`PB Expected`, `10-SUNMPO LEDGER`.`PB Received`, `10-SUNMPO LEDGER`.`PF Transmitted`, `10-SUNMPO LEDGER`.`Finance Authorization`, `10-SUNMPO LEDGER`.`hurf exchange` as `HURF EX`, `10-SUNMPO LEDGER`.HSIP, `10-SUNMPO LEDGER`.PL,  `10-SUNMPO LEDGER`.`PL-SATO`,`10-SUNMPO LEDGER`.SPR, `10-SUNMPO LEDGER`.`STP &lt;5`, `10-SUNMPO LEDGER`.`STP 5-200`,`10-SUNMPO LEDGER`.`STP 5-50`,`10-SUNMPO LEDGER`.`STP 50-200`,`10-SUNMPO LEDGER`.`CRP 50-200`,  `10-SUNMPO LEDGER`.`STP OTHER`_x000d__x000a_FROM `G:\FMS\RESOURCE\ACCESS\010614 PBPF\011614 PBPF front.accdb`.`10-SUNMPO LEDGER` `10-SUNMPO LEDGER`_x000d__x000a_WHERE (`10-SUNMPO LEDGER`.`ADOT#` Not Like 'Trick') AND (`10-SUNMPO LEDGER`.`Finance Authorization` Is Null) AND ((`10-SUNMPO LEDGER`.`PB Expected`&gt;=#10/1/2025# and `PB Expected`&lt;=#9/30/2026#) OR (`10-SUNMPO LEDGER`.`PB Received`&gt;=#10/1/2025# and `PB Received`&lt;=#9/30/2026#) OR (`10-SUNMPO LEDGER`.`PF Transmitted`&gt;=#10/1/2025# and `PF Transmitted`&lt;=#9/30/2026#))_x000d__x000a_ORDER BY `10-SUNMPO LEDGER`.`ADOT#`"/>
  </connection>
</connections>
</file>

<file path=xl/sharedStrings.xml><?xml version="1.0" encoding="utf-8"?>
<sst xmlns="http://schemas.openxmlformats.org/spreadsheetml/2006/main" count="1702" uniqueCount="322">
  <si>
    <t>TIP#</t>
  </si>
  <si>
    <t>ADOT#</t>
  </si>
  <si>
    <t>Location</t>
  </si>
  <si>
    <t>Sponsor</t>
  </si>
  <si>
    <t>HSIP</t>
  </si>
  <si>
    <t>SPR</t>
  </si>
  <si>
    <t>STP other</t>
  </si>
  <si>
    <t>New Auth</t>
  </si>
  <si>
    <t>MPA</t>
  </si>
  <si>
    <t>FV MPA</t>
  </si>
  <si>
    <t>Total</t>
  </si>
  <si>
    <t>Description</t>
  </si>
  <si>
    <t>APPORTIONMENTS /1</t>
  </si>
  <si>
    <t>Number</t>
  </si>
  <si>
    <t>Details</t>
  </si>
  <si>
    <t>FFY OBLIGATION AUTHORITY /2</t>
  </si>
  <si>
    <t>Apportionments represent the amount of federal funding based on formula. Apportionments generally exceed obligation authority (OA), resulting in excess apportionments that cannot be obligated. Over the life of a multi-year federal transportation program authorization, apportionments may accumulate but cannot be utilized unless Congress approves a matching amount of OA. There is no guarantee Congress will  provide the OA necessary to fully utilize apportionments.</t>
  </si>
  <si>
    <t>OA is the amount of authorized apportionments which Congress allows states to obligated in an individual year. This is the amount which FHWA will reimburse.</t>
  </si>
  <si>
    <t>Unobligated OA may be used with any category of apportionments. An equal amount of each is required to obligate funds.</t>
  </si>
  <si>
    <t xml:space="preserve">Because federal regulations require adjustment to the amount authorized within 90 days of a change in costs, finance actions may be required on projects programmed in previous fiscal years. Depending on the type of federal funds involved, these actions may reduce or increase the region's apportionments and/or OA. </t>
  </si>
  <si>
    <t>New Authorization</t>
  </si>
  <si>
    <t>Award MPA</t>
  </si>
  <si>
    <t>Convert AC</t>
  </si>
  <si>
    <t>Other</t>
  </si>
  <si>
    <t>Modified Project Agreement</t>
  </si>
  <si>
    <t>Cancel</t>
  </si>
  <si>
    <t>Project Withdrawn</t>
  </si>
  <si>
    <t>AC Auth</t>
  </si>
  <si>
    <t>Modification (increase or decrease) due to bid award</t>
  </si>
  <si>
    <t>Conversion of advanced construction balances (MAG only)</t>
  </si>
  <si>
    <t>Modification (increase or decrease) required to complete the Final Voucher and fully close the project</t>
  </si>
  <si>
    <t>AC Authorization (MAG only)</t>
  </si>
  <si>
    <t>A transaction type not otherwise listed</t>
  </si>
  <si>
    <t xml:space="preserve">Action types: </t>
  </si>
  <si>
    <t>NOT YET AUTHORIZED</t>
  </si>
  <si>
    <t>"Repayments In" represent loan funds being repaid to the region by another entity. Repayments In increase apportionments and/or OA. See the Apportionment and OA Loan tables for transaction detail.</t>
  </si>
  <si>
    <t>"Loans In" represent funds received by the region from another entity which must be repaid. Loans In increase apportionments and/or OA. See the Apportionment and OA Loan tables for transaction detail.</t>
  </si>
  <si>
    <t>"Loans Out" represent funds being loaned to another entity and which will be repaid to the region based upon a scheduled agreed to in advance by both entities. Loans Out decrease apportionments and/or OA. See the Apportionment and OA Loan tables for transaction detail.</t>
  </si>
  <si>
    <t>"Repayments Out" represent funds which are being repaid to another entity. Repayments Out decrease apportionments and/or OA. See the Apportionment and OA Loan tables for transaction detail.</t>
  </si>
  <si>
    <t>"Transfers  In" represent funds received by the region from another entity which will not be repaid. See the Apportionment and OA Transfer tables for transaction detail.</t>
  </si>
  <si>
    <t>"Transfers  Out" represent funds given by the region to another entity which will not be repaid. See the Apportionment and OA Transfer tables for transaction detail.</t>
  </si>
  <si>
    <t>CMAQ</t>
  </si>
  <si>
    <t>PL</t>
  </si>
  <si>
    <t>Transaction Year</t>
  </si>
  <si>
    <t>Transaction Type</t>
  </si>
  <si>
    <t>Repayment Year</t>
  </si>
  <si>
    <t>RTE</t>
  </si>
  <si>
    <t>SEC</t>
  </si>
  <si>
    <t>SEQ</t>
  </si>
  <si>
    <t>PB Expected</t>
  </si>
  <si>
    <t>PB Received</t>
  </si>
  <si>
    <t>PF Transmitted</t>
  </si>
  <si>
    <t>Finance Authorization</t>
  </si>
  <si>
    <t>STP OTHER</t>
  </si>
  <si>
    <t>TOTAL</t>
  </si>
  <si>
    <t>SPR /4</t>
  </si>
  <si>
    <t>APPORTIONMENTS</t>
  </si>
  <si>
    <t>OA</t>
  </si>
  <si>
    <t>HSIP/3</t>
  </si>
  <si>
    <t>AUTHORIZED FINANCE ACTIONS /14</t>
  </si>
  <si>
    <t>Processing Status /16</t>
  </si>
  <si>
    <t>Processing Status:</t>
  </si>
  <si>
    <t>Date on which the request is actually received by the Program Budget office</t>
  </si>
  <si>
    <t>Date on which the finance authorization request is expected to be received by the Program Budget office for processing</t>
  </si>
  <si>
    <t>Date on which the project financing is approved by FHWA or the CFO's office as applicable</t>
  </si>
  <si>
    <t>Date on which the request is sent to FHWA (federally funded projects)or the CFO's office (RARF or other non-federal funded projects) for authorization approval</t>
  </si>
  <si>
    <t>Loans In /7</t>
  </si>
  <si>
    <t>Loans Out /8</t>
  </si>
  <si>
    <t>Repayments In /9</t>
  </si>
  <si>
    <t>Repayments Out  /10</t>
  </si>
  <si>
    <t>Transfers In /11</t>
  </si>
  <si>
    <t>Transfers Out /12</t>
  </si>
  <si>
    <t>Remaining Apportionments</t>
  </si>
  <si>
    <t>LAPSING FUNDS /17</t>
  </si>
  <si>
    <t>CURRENT YEAR FUNDS</t>
  </si>
  <si>
    <t>APPORTIONMENT LOANS, REPAYMENTS AND TRANSFERS /see Notes 7 - 12</t>
  </si>
  <si>
    <t>OA LOANS, REPAYMENTS AND TRANSFERS /see Notes 7 - 12</t>
  </si>
  <si>
    <t>Data as of:</t>
  </si>
  <si>
    <t xml:space="preserve">Federal Aid Regional Loans and Transfers Ledger
</t>
  </si>
  <si>
    <t>Action/15</t>
  </si>
  <si>
    <t>Expected Totals</t>
  </si>
  <si>
    <r>
      <rPr>
        <b/>
        <sz val="11"/>
        <color rgb="FFFF0000"/>
        <rFont val="Arial Unicode MS"/>
        <family val="2"/>
      </rPr>
      <t xml:space="preserve">IMPORTANT! </t>
    </r>
    <r>
      <rPr>
        <sz val="11"/>
        <color theme="1"/>
        <rFont val="Arial Unicode MS"/>
        <family val="2"/>
      </rPr>
      <t>Please review the information in the Notes tab for further explanation of the data in this document.</t>
    </r>
  </si>
  <si>
    <t>From</t>
  </si>
  <si>
    <t>To</t>
  </si>
  <si>
    <t>Project8</t>
  </si>
  <si>
    <t>Notes</t>
  </si>
  <si>
    <t>Loan Out</t>
  </si>
  <si>
    <t>Repayment In</t>
  </si>
  <si>
    <t>ADOT</t>
  </si>
  <si>
    <t>2014</t>
  </si>
  <si>
    <t>2016</t>
  </si>
  <si>
    <t>2015</t>
  </si>
  <si>
    <t>Current FFY
Apportionments /5</t>
  </si>
  <si>
    <t>Lapsing</t>
  </si>
  <si>
    <t>2017</t>
  </si>
  <si>
    <t>2018</t>
  </si>
  <si>
    <t>STP &lt;5</t>
  </si>
  <si>
    <t>S</t>
  </si>
  <si>
    <t>P</t>
  </si>
  <si>
    <t>Transfer Out</t>
  </si>
  <si>
    <t>STP 5-2</t>
  </si>
  <si>
    <r>
      <t xml:space="preserve">FFY Total Available 
</t>
    </r>
    <r>
      <rPr>
        <b/>
        <sz val="9"/>
        <color rgb="FFFF0000"/>
        <rFont val="Arial Unicode MS"/>
        <family val="2"/>
      </rPr>
      <t xml:space="preserve">*LAPSES ON 6/30* </t>
    </r>
    <r>
      <rPr>
        <sz val="9"/>
        <rFont val="Arial Unicode MS"/>
        <family val="2"/>
      </rPr>
      <t>/13</t>
    </r>
  </si>
  <si>
    <r>
      <t xml:space="preserve">Carry Forward
</t>
    </r>
    <r>
      <rPr>
        <sz val="9"/>
        <color rgb="FFFF0000"/>
        <rFont val="Arial Unicode MS"/>
        <family val="2"/>
      </rPr>
      <t>*</t>
    </r>
    <r>
      <rPr>
        <b/>
        <sz val="9"/>
        <color rgb="FFFF0000"/>
        <rFont val="Arial Unicode MS"/>
        <family val="2"/>
      </rPr>
      <t>LAPSES ON 6/30*</t>
    </r>
    <r>
      <rPr>
        <b/>
        <sz val="10"/>
        <rFont val="Calibri"/>
        <family val="2"/>
        <scheme val="minor"/>
      </rPr>
      <t/>
    </r>
  </si>
  <si>
    <t>Transfer In</t>
  </si>
  <si>
    <t>MAG</t>
  </si>
  <si>
    <t>Regional Safety Plan</t>
  </si>
  <si>
    <t>Loan In</t>
  </si>
  <si>
    <t>NACOG</t>
  </si>
  <si>
    <t>Repayment Out</t>
  </si>
  <si>
    <t>Toltec Rd</t>
  </si>
  <si>
    <t>Sun Corridor Metropolitan Planning Organization</t>
  </si>
  <si>
    <t>SUNMPO-LP01</t>
  </si>
  <si>
    <t>SUNMPO</t>
  </si>
  <si>
    <t>SUNMPO LAPSING FUNDS - FFY14</t>
  </si>
  <si>
    <t>WACOG14-L004</t>
  </si>
  <si>
    <t>WACOG</t>
  </si>
  <si>
    <t>SCMPO SAFTEY PLAN</t>
  </si>
  <si>
    <t>WACOG HSIP LOAN TO SUNPMO</t>
  </si>
  <si>
    <t>CAG-T002</t>
  </si>
  <si>
    <t>CAG</t>
  </si>
  <si>
    <t>SZ130</t>
  </si>
  <si>
    <t>STP Transfer to SCMPO from SUNMPO</t>
  </si>
  <si>
    <t>NACOG-15L1</t>
  </si>
  <si>
    <t>NACOG Loan to SCMPO</t>
  </si>
  <si>
    <t>SCMPO-15L1</t>
  </si>
  <si>
    <t>SCMPO Loan to CAG</t>
  </si>
  <si>
    <t>SCMPOADOT-16L1</t>
  </si>
  <si>
    <t>T005501C</t>
  </si>
  <si>
    <t>SCMPO HSIP Loan to ADOT</t>
  </si>
  <si>
    <t>SCMPOMAG-16L1</t>
  </si>
  <si>
    <t>SCMPO STP Loan to MAG</t>
  </si>
  <si>
    <t>WACOG HSIP LOAN TO SUNPMO REPAYMENT</t>
  </si>
  <si>
    <t>NACOGSCMPO-17</t>
  </si>
  <si>
    <t>NACOG STP Loan to SCMPO</t>
  </si>
  <si>
    <t>SCMPOADOT-17L1</t>
  </si>
  <si>
    <t>SCMPOADOT-17L2</t>
  </si>
  <si>
    <t>SCMPOMAG-17L1</t>
  </si>
  <si>
    <t>2018/20</t>
  </si>
  <si>
    <t>CAGSCMPO-17T1</t>
  </si>
  <si>
    <t>Pinal County Safety Study</t>
  </si>
  <si>
    <t>CAG HSIP Transfer to SCMPO</t>
  </si>
  <si>
    <t>MAGSCMPO-17T1</t>
  </si>
  <si>
    <t>MAG HSIP Transfer to SCMPO</t>
  </si>
  <si>
    <t>SCMPOADOT-17T1</t>
  </si>
  <si>
    <t>H887701C</t>
  </si>
  <si>
    <t>SCMPO HSIP Transfer to ADOT</t>
  </si>
  <si>
    <t>FY18T1-SCMPOADOT</t>
  </si>
  <si>
    <t>H883801C</t>
  </si>
  <si>
    <t>2020</t>
  </si>
  <si>
    <t>SCM</t>
  </si>
  <si>
    <t>T011201D</t>
  </si>
  <si>
    <t>CMAQ 25</t>
  </si>
  <si>
    <t>PLAN</t>
  </si>
  <si>
    <t>STP &gt;200</t>
  </si>
  <si>
    <t>TAP &gt;200</t>
  </si>
  <si>
    <t>FY18T1-ADOTSUNMPO</t>
  </si>
  <si>
    <t>Korsten TI</t>
  </si>
  <si>
    <t>ADOT STP 5-2 Transfer to SCMPO</t>
  </si>
  <si>
    <t>STP 5-200</t>
  </si>
  <si>
    <t>HURF Ex</t>
  </si>
  <si>
    <t>HURF Exchange</t>
  </si>
  <si>
    <t>HURF EX</t>
  </si>
  <si>
    <t>ADOTSCMPO-181</t>
  </si>
  <si>
    <t>VARIOUS HSIP</t>
  </si>
  <si>
    <t>ADOT HSIP Transfer to SCMPO</t>
  </si>
  <si>
    <t>T018101D</t>
  </si>
  <si>
    <t>ADOTSCMPO-182</t>
  </si>
  <si>
    <t>ADOTSCMPO-18T1</t>
  </si>
  <si>
    <t>ADOT HURF EX Transfer to SCMPO</t>
  </si>
  <si>
    <t>SCMPO STP 5-2 Transfer to ADOT</t>
  </si>
  <si>
    <t>ADOTSCMPO-18T2</t>
  </si>
  <si>
    <t>SCMPOADOT-18T3</t>
  </si>
  <si>
    <t>FV BALANCES</t>
  </si>
  <si>
    <t>2019</t>
  </si>
  <si>
    <t>ADOT STBGP Transfer to SCMPO</t>
  </si>
  <si>
    <t>T011201C</t>
  </si>
  <si>
    <t>ADOTSCMPO-19T1</t>
  </si>
  <si>
    <t>T021401D</t>
  </si>
  <si>
    <t>SCMPOADOT-19L1</t>
  </si>
  <si>
    <t>T0181</t>
  </si>
  <si>
    <t>SCMPO STBGP Loan to ADOT</t>
  </si>
  <si>
    <t>SCMPOADOT-20L1</t>
  </si>
  <si>
    <t>2022</t>
  </si>
  <si>
    <t>ADOTSCMPO-19T2</t>
  </si>
  <si>
    <t>T018101C</t>
  </si>
  <si>
    <t>SCMPOADOT-20L2</t>
  </si>
  <si>
    <t>2021</t>
  </si>
  <si>
    <t>Future HSIP</t>
  </si>
  <si>
    <t>ADOTSCMPO-21L1</t>
  </si>
  <si>
    <t>MCG</t>
  </si>
  <si>
    <t>ADOT STBGP Loan to SCMPO</t>
  </si>
  <si>
    <t>SCMPOADOT-21L2</t>
  </si>
  <si>
    <t>Future STP</t>
  </si>
  <si>
    <t>ADOTSCMPO-21T1</t>
  </si>
  <si>
    <t>T021401C</t>
  </si>
  <si>
    <t>ADOTSCMPO-21T2</t>
  </si>
  <si>
    <t>2023</t>
  </si>
  <si>
    <t>ADOTSCMPO-23L1</t>
  </si>
  <si>
    <t>2024/25</t>
  </si>
  <si>
    <t>Coolidge Ave/Vah Ki Inn Rd</t>
  </si>
  <si>
    <t>ADOT STBG Loan to SCMPO</t>
  </si>
  <si>
    <t>2024</t>
  </si>
  <si>
    <t>2025</t>
  </si>
  <si>
    <t>OA Ratio (OA/apportionments) /1</t>
  </si>
  <si>
    <t>Fund Type</t>
  </si>
  <si>
    <t xml:space="preserve">Program Category </t>
  </si>
  <si>
    <t>Formula</t>
  </si>
  <si>
    <t xml:space="preserve">SPR (Planning) </t>
  </si>
  <si>
    <t xml:space="preserve">SPR (Research) </t>
  </si>
  <si>
    <t xml:space="preserve">Metropolitan Planning </t>
  </si>
  <si>
    <t xml:space="preserve">STP &lt; 5k </t>
  </si>
  <si>
    <t>Total Formula Apportionments</t>
  </si>
  <si>
    <t>Total Formula OA (@94.9%)</t>
  </si>
  <si>
    <t>Statutory</t>
  </si>
  <si>
    <t>Disc</t>
  </si>
  <si>
    <t>SCMPO OA</t>
  </si>
  <si>
    <t>check</t>
  </si>
  <si>
    <t>rounding</t>
  </si>
  <si>
    <t>Sun Corridor MPO Change</t>
  </si>
  <si>
    <t>T035001D</t>
  </si>
  <si>
    <t>HSIP is now managed as a competitive program by ADOT.   However,  HSIP funding released off of  projects that were funded from the ledger will be released back onto the ledger.</t>
  </si>
  <si>
    <t>Sun Corridor MPO FFY22</t>
  </si>
  <si>
    <t>PLAN SATO</t>
  </si>
  <si>
    <t>STP 5-50</t>
  </si>
  <si>
    <t>STP 50-200</t>
  </si>
  <si>
    <t>CRP 50-200</t>
  </si>
  <si>
    <t>STP FLEX</t>
  </si>
  <si>
    <t>TAP FLEX</t>
  </si>
  <si>
    <t>TAP &lt;5</t>
  </si>
  <si>
    <t>TAP 5-2</t>
  </si>
  <si>
    <t>PL-SATO</t>
  </si>
  <si>
    <t>TOTAL OF AMOUNT</t>
  </si>
  <si>
    <t>DECLINING BALANCE OA</t>
  </si>
  <si>
    <t>CRP 50--200</t>
  </si>
  <si>
    <t>Total Used</t>
  </si>
  <si>
    <t>Loan CRP for use of future projects</t>
  </si>
  <si>
    <t>SCMPO CRP Loan to ADOT</t>
  </si>
  <si>
    <t>ADOTSCMPO-22T1</t>
  </si>
  <si>
    <t>SCMPO STP 5-50 Transfer to ADOT</t>
  </si>
  <si>
    <t>Loan HSIP for use of future projects</t>
  </si>
  <si>
    <t>SUNMPOADOT-22L1</t>
  </si>
  <si>
    <t>SUNMPOADOT-22L2</t>
  </si>
  <si>
    <t>Loan STP for I-10 Detour Plan</t>
  </si>
  <si>
    <t>TBD</t>
  </si>
  <si>
    <t>Sun Corridor MPO FFY23</t>
  </si>
  <si>
    <t>SPR (State Planning &amp; Research) apportionment availability for approved work program</t>
  </si>
  <si>
    <t>N/A</t>
  </si>
  <si>
    <t>SUNMPOADOT-23L2</t>
  </si>
  <si>
    <t>ADOTSCMPO-23L2</t>
  </si>
  <si>
    <t>PL/PL-SATO OA Shortfall / T00301C</t>
  </si>
  <si>
    <t>ADOT Loan to SCMPO</t>
  </si>
  <si>
    <t>999</t>
  </si>
  <si>
    <t>ADOTSCMPO-23T2</t>
  </si>
  <si>
    <t>T035001C</t>
  </si>
  <si>
    <t>SCMPO STP &lt;5 Transfer to ADOT</t>
  </si>
  <si>
    <t>Please direct questions regarding federal funding ledgers to ADOT Financial Management Services at</t>
  </si>
  <si>
    <t xml:space="preserve"> resourceadmin@azdot.gov.</t>
  </si>
  <si>
    <t>All OA and apportionments are subject to lapse annually on June 30th.</t>
  </si>
  <si>
    <t>SCMPOADOT-24L1</t>
  </si>
  <si>
    <t>FFY25 HFX Project - TBD</t>
  </si>
  <si>
    <t>SCMPO STP 50-200K Loan to ADOT</t>
  </si>
  <si>
    <t>SCMPOADOT-24L2</t>
  </si>
  <si>
    <t>2026</t>
  </si>
  <si>
    <t>F075301C - DMS Sign Project</t>
  </si>
  <si>
    <t>SCMPO CRP 50-200K Loan to ADOT</t>
  </si>
  <si>
    <t>Sun Corridor MPO FFY24</t>
  </si>
  <si>
    <t>PSC2601P</t>
  </si>
  <si>
    <t>SCMPO FY 2026/FY 2027 WP -SPR</t>
  </si>
  <si>
    <t>026</t>
  </si>
  <si>
    <t>PSC2602P</t>
  </si>
  <si>
    <t>SCMPO FY 2026/FY 2027 WP -PL</t>
  </si>
  <si>
    <t>T</t>
  </si>
  <si>
    <t xml:space="preserve"> Please contact ADOT Financial Management Services to coordinate this exchange.  If HSIP funds will be programmed on a project, please be advised that an </t>
  </si>
  <si>
    <t>eligibility letter must be obtained from ADOT's Traffic Safety Group prior to authorization.</t>
  </si>
  <si>
    <t>FOOTNOTES</t>
  </si>
  <si>
    <t xml:space="preserve">1. Any HSIP apportionments that become available on the ledger as a result of a project close out or other reasons, are eligible to be exchanged for STBG apportionments. </t>
  </si>
  <si>
    <t>Sun Corridor MPO FFY25</t>
  </si>
  <si>
    <t>0</t>
  </si>
  <si>
    <t>PSC2604P</t>
  </si>
  <si>
    <t>SCMPO FY 2026/FY 2027 WP - STBG Engineering</t>
  </si>
  <si>
    <t>126</t>
  </si>
  <si>
    <t>Federal Fiscal Year 2026</t>
  </si>
  <si>
    <t>F075301C</t>
  </si>
  <si>
    <t>ADOT#	104479</t>
  </si>
  <si>
    <t>VARIOUS LOCATIONS ON I-10, SR87 &amp; SR387</t>
  </si>
  <si>
    <t>PSC2603P</t>
  </si>
  <si>
    <t>SCMPO FY 2026/FY 2027 WP - STBG</t>
  </si>
  <si>
    <t>RLTAP31P</t>
  </si>
  <si>
    <t>VARIOUS</t>
  </si>
  <si>
    <t>LOCAL LEDGERS</t>
  </si>
  <si>
    <t>LTAP - FFY26</t>
  </si>
  <si>
    <t>State FY 26 Approved work program amount</t>
  </si>
  <si>
    <t>State FY 26 amount authorized prior to 09/30/25 or Lapsed funding</t>
  </si>
  <si>
    <t>State FY 26 amount available for authorization 10/01/25 - 06/30/26</t>
  </si>
  <si>
    <t>State FY 27 amount available for authorization 07/1/26 - 09/30/26 (request must be submitted by 09/01/26)</t>
  </si>
  <si>
    <t>Total SPR apportionments for Federal Fiscal Year 26 (as shown on ledger)</t>
  </si>
  <si>
    <t>Planned Lapsing - 06/30/26</t>
  </si>
  <si>
    <t>Lapsed - 07/01/26</t>
  </si>
  <si>
    <t>Planned Lapsing - 09/30/26</t>
  </si>
  <si>
    <t>Carry Forward to FFY 27</t>
  </si>
  <si>
    <t>Sun Corridor MPO FFY26 Est.</t>
  </si>
  <si>
    <r>
      <t xml:space="preserve">LAPSING FUNDS:  </t>
    </r>
    <r>
      <rPr>
        <sz val="11"/>
        <rFont val="Calibri"/>
        <family val="2"/>
        <scheme val="minor"/>
      </rPr>
      <t xml:space="preserve">Carried forward apportionments and obligation authority lapse pursuant to the following schedule:
</t>
    </r>
    <r>
      <rPr>
        <sz val="8"/>
        <rFont val="Wingdings"/>
        <charset val="2"/>
      </rPr>
      <t>t</t>
    </r>
    <r>
      <rPr>
        <sz val="11"/>
        <rFont val="Calibri"/>
        <family val="2"/>
        <scheme val="minor"/>
      </rPr>
      <t xml:space="preserve">   Remaining OA lapses annually on 6/30.
</t>
    </r>
    <r>
      <rPr>
        <sz val="8"/>
        <rFont val="Wingdings"/>
        <charset val="2"/>
      </rPr>
      <t xml:space="preserve">t </t>
    </r>
    <r>
      <rPr>
        <sz val="11"/>
        <rFont val="Calibri"/>
        <family val="2"/>
        <scheme val="minor"/>
      </rPr>
      <t>Remaining Apportionments lapse annually on 6/30 with the exception of apportionments for CMAQ, TA, CRP over 200K and STP over 200K in MAG and PAG, and CRP 50-200K for MPOs and TMAs.</t>
    </r>
    <r>
      <rPr>
        <sz val="11"/>
        <rFont val="Calibri Light"/>
        <family val="2"/>
        <scheme val="major"/>
      </rPr>
      <t xml:space="preserve">
</t>
    </r>
  </si>
  <si>
    <t>PSC2401P</t>
  </si>
  <si>
    <t>SCMPO FY 2024/FY 2025 WP -SPR</t>
  </si>
  <si>
    <t>024</t>
  </si>
  <si>
    <t>ADOTSCMPO-26L1</t>
  </si>
  <si>
    <t>2027</t>
  </si>
  <si>
    <t>PC2603P, PSC2604P,and $500 RTAP Funding</t>
  </si>
  <si>
    <t>ADOT STP 50-200K Loan to SCMPO</t>
  </si>
  <si>
    <t xml:space="preserve">Federal Aid Transaction Ledger
</t>
  </si>
  <si>
    <t>The FFY 26 OA limitation ratio for the State is 87.4%.  The rate for calculations in FY 2026 for the ledgers will be 0.949.  This rate is subject to change in future fiscal years.</t>
  </si>
  <si>
    <t>2. This ledger does not track Transit funding. Transit Consolidated Planning Grant (CPG) funding will be added as a footnote here upon receipt of FFY26 allocations.</t>
  </si>
  <si>
    <t>T046901C</t>
  </si>
  <si>
    <t>ADOT# 103653</t>
  </si>
  <si>
    <t>ADOT-LOCAL PROJECTS</t>
  </si>
  <si>
    <t>Florence Blvd and Peart Rd</t>
  </si>
  <si>
    <t>CSG</t>
  </si>
  <si>
    <t>212</t>
  </si>
  <si>
    <t>T047001C</t>
  </si>
  <si>
    <t>ADOT# 103883</t>
  </si>
  <si>
    <t>Florence Blvd and Colorado St</t>
  </si>
  <si>
    <t>213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</si>
</sst>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8" formatCode="&quot;$&quot;#,##0.00_);[Red]\(&quot;$&quot;#,##0.00\)"/>
    <numFmt numFmtId="44" formatCode="_(&quot;$&quot;* #,##0.00_);_(&quot;$&quot;* \(#,##0.00\);_(&quot;$&quot;* &quot;-&quot;??_);_(@_)"/>
    <numFmt numFmtId="43" formatCode="_(* #,##0.00_);_(* \(#,##0.00\);_(* &quot;-&quot;??_);_(@_)"/>
    <numFmt numFmtId="164" formatCode="mm/dd/yy;@"/>
    <numFmt numFmtId="165" formatCode="#,##0.000_);[Red]\(#,##0.000\)"/>
    <numFmt numFmtId="166" formatCode="mm/dd/yyyy"/>
    <numFmt numFmtId="167" formatCode="m/d/yy;@"/>
  </numFmts>
  <fonts count="57">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2"/>
      <name val="Calibri"/>
      <family val="2"/>
      <scheme val="minor"/>
    </font>
    <font>
      <b/>
      <sz val="14"/>
      <color theme="1"/>
      <name val="Calibri"/>
      <family val="2"/>
      <scheme val="minor"/>
    </font>
    <font>
      <sz val="10"/>
      <color indexed="8"/>
      <name val="Arial"/>
      <family val="2"/>
    </font>
    <font>
      <sz val="11"/>
      <color indexed="8"/>
      <name val="Calibri"/>
      <family val="2"/>
    </font>
    <font>
      <b/>
      <sz val="10"/>
      <name val="Calibri"/>
      <family val="2"/>
      <scheme val="minor"/>
    </font>
    <font>
      <b/>
      <sz val="11"/>
      <color indexed="8"/>
      <name val="Calibri"/>
      <family val="2"/>
    </font>
    <font>
      <sz val="11"/>
      <color theme="1"/>
      <name val="Calibri"/>
      <family val="2"/>
      <scheme val="minor"/>
    </font>
    <font>
      <sz val="11"/>
      <color theme="1"/>
      <name val="Arial Unicode MS"/>
      <family val="2"/>
    </font>
    <font>
      <b/>
      <sz val="16"/>
      <color rgb="FFFF0000"/>
      <name val="Arial Unicode MS"/>
      <family val="2"/>
    </font>
    <font>
      <b/>
      <sz val="11"/>
      <color theme="1"/>
      <name val="Arial Unicode MS"/>
      <family val="2"/>
    </font>
    <font>
      <b/>
      <sz val="10"/>
      <color theme="0"/>
      <name val="Arial Unicode MS"/>
      <family val="2"/>
    </font>
    <font>
      <b/>
      <sz val="9"/>
      <name val="Arial Unicode MS"/>
      <family val="2"/>
    </font>
    <font>
      <sz val="9"/>
      <color theme="1"/>
      <name val="Arial Unicode MS"/>
      <family val="2"/>
    </font>
    <font>
      <sz val="9"/>
      <color rgb="FFFF0000"/>
      <name val="Arial Unicode MS"/>
      <family val="2"/>
    </font>
    <font>
      <b/>
      <sz val="9"/>
      <color rgb="FFFF0000"/>
      <name val="Arial Unicode MS"/>
      <family val="2"/>
    </font>
    <font>
      <b/>
      <sz val="10"/>
      <color theme="1"/>
      <name val="Arial Unicode MS"/>
      <family val="2"/>
    </font>
    <font>
      <sz val="10"/>
      <color theme="1"/>
      <name val="Arial Unicode MS"/>
      <family val="2"/>
    </font>
    <font>
      <b/>
      <sz val="11"/>
      <color rgb="FFFF0000"/>
      <name val="Arial Unicode MS"/>
      <family val="2"/>
    </font>
    <font>
      <b/>
      <sz val="9"/>
      <color theme="1"/>
      <name val="Arial Unicode MS"/>
      <family val="2"/>
    </font>
    <font>
      <sz val="9"/>
      <name val="Arial Unicode MS"/>
      <family val="2"/>
    </font>
    <font>
      <b/>
      <sz val="12"/>
      <name val="Arial Unicode MS"/>
      <family val="2"/>
    </font>
    <font>
      <b/>
      <sz val="10"/>
      <name val="Arial Unicode M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name val="Arial"/>
      <family val="2"/>
    </font>
    <font>
      <b/>
      <sz val="9"/>
      <name val="Arial"/>
      <family val="2"/>
    </font>
    <font>
      <sz val="10"/>
      <name val="Arial"/>
      <family val="2"/>
    </font>
    <font>
      <sz val="12"/>
      <name val="Times New Roman"/>
      <family val="1"/>
    </font>
    <font>
      <sz val="8"/>
      <name val="Arial"/>
      <family val="2"/>
    </font>
    <font>
      <sz val="10"/>
      <color rgb="FF000000"/>
      <name val="Arial"/>
      <family val="2"/>
    </font>
    <font>
      <sz val="9"/>
      <color theme="1"/>
      <name val="Arial Unicode MS"/>
      <family val="2"/>
    </font>
    <font>
      <sz val="11"/>
      <color theme="1"/>
      <name val="Calibri"/>
      <family val="2"/>
      <scheme val="minor"/>
    </font>
    <font>
      <sz val="17"/>
      <color rgb="FF202124"/>
      <name val="Arial"/>
      <family val="2"/>
    </font>
    <font>
      <sz val="11"/>
      <color theme="1"/>
      <name val="Calibri"/>
      <family val="2"/>
      <scheme val="minor"/>
    </font>
    <font>
      <sz val="11"/>
      <color theme="1"/>
      <name val="Calibri"/>
      <family val="2"/>
      <scheme val="minor"/>
    </font>
    <font>
      <sz val="11"/>
      <color rgb="FFFF0000"/>
      <name val="Arial Unicode MS"/>
      <family val="2"/>
    </font>
    <font>
      <sz val="9"/>
      <color indexed="81"/>
      <name val="Tahoma"/>
      <family val="2"/>
    </font>
    <font>
      <b/>
      <sz val="9"/>
      <color indexed="81"/>
      <name val="Tahoma"/>
      <family val="2"/>
    </font>
    <font>
      <sz val="11"/>
      <color theme="1"/>
      <name val="Calibri"/>
      <family val="2"/>
      <scheme val="minor"/>
    </font>
    <font>
      <b/>
      <u/>
      <sz val="12"/>
      <name val="Arial Unicode MS"/>
      <family val="2"/>
    </font>
    <font>
      <sz val="11"/>
      <color theme="1"/>
      <name val="Calibri"/>
      <family val="2"/>
      <scheme val="minor"/>
    </font>
    <font>
      <strike/>
      <sz val="11"/>
      <color theme="1"/>
      <name val="Calibri"/>
      <family val="2"/>
      <scheme val="minor"/>
    </font>
    <font>
      <b/>
      <sz val="11"/>
      <color rgb="FFFF0000"/>
      <name val="Calibri"/>
      <family val="2"/>
      <scheme val="minor"/>
    </font>
    <font>
      <sz val="8"/>
      <name val="Wingdings"/>
      <charset val="2"/>
    </font>
    <font>
      <sz val="11"/>
      <name val="Calibri Light"/>
      <family val="2"/>
      <scheme val="major"/>
    </font>
  </fonts>
  <fills count="11">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39994506668294322"/>
        <bgColor indexed="64"/>
      </patternFill>
    </fill>
    <fill>
      <patternFill patternType="solid">
        <fgColor theme="4" tint="0.39994506668294322"/>
        <bgColor theme="8"/>
      </patternFill>
    </fill>
    <fill>
      <patternFill patternType="solid">
        <fgColor theme="0"/>
        <bgColor indexed="64"/>
      </patternFill>
    </fill>
    <fill>
      <patternFill patternType="solid">
        <fgColor rgb="FFFFFFCC"/>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6"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auto="1"/>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bottom/>
      <diagonal/>
    </border>
  </borders>
  <cellStyleXfs count="46">
    <xf numFmtId="0" fontId="0" fillId="0" borderId="0"/>
    <xf numFmtId="44" fontId="1" fillId="0" borderId="0" applyFont="0" applyFill="0" applyBorder="0" applyAlignment="0" applyProtection="0"/>
    <xf numFmtId="0" fontId="6" fillId="0" borderId="0"/>
    <xf numFmtId="43" fontId="1" fillId="0" borderId="0" applyFont="0" applyFill="0" applyBorder="0" applyAlignment="0" applyProtection="0"/>
    <xf numFmtId="9" fontId="1" fillId="0" borderId="0" applyFont="0" applyFill="0" applyBorder="0" applyAlignment="0" applyProtection="0"/>
    <xf numFmtId="0" fontId="38" fillId="0" borderId="0"/>
    <xf numFmtId="0" fontId="38" fillId="0" borderId="0"/>
    <xf numFmtId="0" fontId="39" fillId="0" borderId="0"/>
    <xf numFmtId="0" fontId="40" fillId="0" borderId="0"/>
    <xf numFmtId="43" fontId="40"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38" fillId="0" borderId="0" applyFont="0" applyFill="0" applyBorder="0" applyAlignment="0" applyProtection="0"/>
    <xf numFmtId="0" fontId="41" fillId="0" borderId="0"/>
    <xf numFmtId="0" fontId="38" fillId="0" borderId="0"/>
    <xf numFmtId="0" fontId="41" fillId="0" borderId="0"/>
    <xf numFmtId="0" fontId="38" fillId="0" borderId="0"/>
    <xf numFmtId="0" fontId="41" fillId="0" borderId="0"/>
    <xf numFmtId="0" fontId="41" fillId="0" borderId="0"/>
    <xf numFmtId="0" fontId="41" fillId="0" borderId="0"/>
    <xf numFmtId="0" fontId="41" fillId="0" borderId="0"/>
    <xf numFmtId="0" fontId="41" fillId="0" borderId="0"/>
    <xf numFmtId="0" fontId="41" fillId="0" borderId="0"/>
    <xf numFmtId="0" fontId="38"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38" fillId="0" borderId="0"/>
    <xf numFmtId="0" fontId="41" fillId="0" borderId="0"/>
    <xf numFmtId="0" fontId="38" fillId="0" borderId="0"/>
    <xf numFmtId="0" fontId="41" fillId="0" borderId="0"/>
    <xf numFmtId="0" fontId="41" fillId="0" borderId="0"/>
    <xf numFmtId="0" fontId="38" fillId="0" borderId="0"/>
    <xf numFmtId="0" fontId="41" fillId="0" borderId="0"/>
    <xf numFmtId="9" fontId="1" fillId="0" borderId="0" applyFont="0" applyFill="0" applyBorder="0" applyAlignment="0" applyProtection="0"/>
    <xf numFmtId="9" fontId="38" fillId="0" borderId="0" applyFont="0" applyFill="0" applyBorder="0" applyAlignment="0" applyProtection="0"/>
    <xf numFmtId="0" fontId="38" fillId="0" borderId="0"/>
  </cellStyleXfs>
  <cellXfs count="220">
    <xf numFmtId="0" fontId="0" fillId="0" borderId="0" xfId="0"/>
    <xf numFmtId="0" fontId="0" fillId="0" borderId="0" xfId="0" applyAlignment="1">
      <alignment horizontal="center" vertical="top"/>
    </xf>
    <xf numFmtId="0" fontId="0" fillId="0" borderId="0" xfId="0" applyAlignment="1">
      <alignment horizontal="left" indent="2"/>
    </xf>
    <xf numFmtId="0" fontId="0" fillId="0" borderId="0" xfId="0" applyAlignment="1">
      <alignment horizontal="left" vertical="top" wrapText="1"/>
    </xf>
    <xf numFmtId="0" fontId="2" fillId="0" borderId="0" xfId="0" applyFont="1" applyAlignment="1">
      <alignment horizontal="center" vertical="top"/>
    </xf>
    <xf numFmtId="0" fontId="7" fillId="0" borderId="0" xfId="2" applyFont="1" applyAlignment="1">
      <alignment vertical="top" wrapText="1"/>
    </xf>
    <xf numFmtId="0" fontId="7" fillId="0" borderId="0" xfId="2" applyFont="1" applyAlignment="1">
      <alignment horizontal="left" vertical="top" wrapText="1"/>
    </xf>
    <xf numFmtId="0" fontId="2" fillId="0" borderId="0" xfId="0" applyFont="1" applyAlignment="1">
      <alignment vertical="top" wrapText="1"/>
    </xf>
    <xf numFmtId="8" fontId="0" fillId="0" borderId="11" xfId="1" applyNumberFormat="1" applyFont="1" applyBorder="1" applyAlignment="1">
      <alignment vertical="top" wrapText="1"/>
    </xf>
    <xf numFmtId="8" fontId="0" fillId="0" borderId="0" xfId="1" applyNumberFormat="1" applyFont="1" applyBorder="1" applyAlignment="1">
      <alignment vertical="top" wrapText="1"/>
    </xf>
    <xf numFmtId="8" fontId="2" fillId="3" borderId="0" xfId="1" applyNumberFormat="1" applyFont="1" applyFill="1" applyBorder="1" applyAlignment="1">
      <alignment vertical="top" wrapText="1"/>
    </xf>
    <xf numFmtId="8" fontId="0" fillId="3" borderId="0" xfId="1" applyNumberFormat="1" applyFont="1" applyFill="1" applyBorder="1" applyAlignment="1">
      <alignment vertical="top" wrapText="1"/>
    </xf>
    <xf numFmtId="8" fontId="0" fillId="3" borderId="0" xfId="1" applyNumberFormat="1" applyFont="1" applyFill="1" applyAlignment="1">
      <alignment vertical="top" wrapText="1"/>
    </xf>
    <xf numFmtId="0" fontId="7" fillId="3" borderId="0" xfId="2" applyFont="1" applyFill="1" applyAlignment="1">
      <alignment vertical="top" wrapText="1"/>
    </xf>
    <xf numFmtId="8" fontId="0" fillId="0" borderId="0" xfId="1" applyNumberFormat="1" applyFont="1" applyFill="1" applyAlignment="1">
      <alignment vertical="top" wrapText="1"/>
    </xf>
    <xf numFmtId="0" fontId="9" fillId="0" borderId="0" xfId="2" applyFont="1" applyAlignment="1">
      <alignment vertical="top" wrapText="1"/>
    </xf>
    <xf numFmtId="43" fontId="0" fillId="0" borderId="0" xfId="3" applyFont="1"/>
    <xf numFmtId="43" fontId="0" fillId="0" borderId="0" xfId="3" applyFont="1" applyAlignment="1">
      <alignment wrapText="1"/>
    </xf>
    <xf numFmtId="43" fontId="0" fillId="0" borderId="0" xfId="3" applyFont="1" applyAlignment="1">
      <alignment vertical="top" wrapText="1"/>
    </xf>
    <xf numFmtId="43" fontId="2" fillId="0" borderId="0" xfId="3" applyFont="1" applyAlignment="1">
      <alignment horizontal="left" vertical="top" wrapText="1"/>
    </xf>
    <xf numFmtId="43" fontId="0" fillId="0" borderId="0" xfId="3" applyFont="1" applyBorder="1" applyAlignment="1">
      <alignment vertical="top" wrapText="1"/>
    </xf>
    <xf numFmtId="43" fontId="4" fillId="0" borderId="0" xfId="3" applyFont="1" applyBorder="1" applyAlignment="1">
      <alignment horizontal="left" vertical="top" wrapText="1"/>
    </xf>
    <xf numFmtId="43" fontId="0" fillId="0" borderId="0" xfId="3" applyFont="1" applyBorder="1"/>
    <xf numFmtId="43" fontId="0" fillId="0" borderId="0" xfId="3" applyFont="1" applyBorder="1" applyAlignment="1">
      <alignment wrapText="1"/>
    </xf>
    <xf numFmtId="0" fontId="11" fillId="0" borderId="0" xfId="0" applyFont="1" applyAlignment="1">
      <alignment vertical="top" wrapText="1"/>
    </xf>
    <xf numFmtId="14" fontId="11" fillId="0" borderId="0" xfId="0" applyNumberFormat="1" applyFont="1" applyAlignment="1">
      <alignment vertical="top" wrapText="1"/>
    </xf>
    <xf numFmtId="14" fontId="12" fillId="0" borderId="0" xfId="0" applyNumberFormat="1" applyFont="1" applyAlignment="1">
      <alignment horizontal="center" vertical="center" wrapText="1"/>
    </xf>
    <xf numFmtId="40" fontId="11" fillId="0" borderId="0" xfId="0" applyNumberFormat="1" applyFont="1" applyAlignment="1">
      <alignment vertical="top" wrapText="1"/>
    </xf>
    <xf numFmtId="0" fontId="13" fillId="0" borderId="0" xfId="0" applyFont="1" applyAlignment="1">
      <alignment vertical="top" wrapText="1"/>
    </xf>
    <xf numFmtId="0" fontId="13" fillId="0" borderId="0" xfId="0" applyFont="1" applyAlignment="1">
      <alignment horizontal="left" vertical="top" wrapText="1"/>
    </xf>
    <xf numFmtId="40" fontId="20" fillId="0" borderId="0" xfId="0" applyNumberFormat="1" applyFont="1" applyAlignment="1">
      <alignment vertical="top" wrapText="1"/>
    </xf>
    <xf numFmtId="14" fontId="11" fillId="0" borderId="0" xfId="0" applyNumberFormat="1" applyFont="1" applyAlignment="1">
      <alignment horizontal="left" vertical="center" wrapText="1"/>
    </xf>
    <xf numFmtId="0" fontId="11" fillId="0" borderId="0" xfId="0" applyFont="1" applyAlignment="1">
      <alignment horizontal="left" vertical="top" wrapText="1"/>
    </xf>
    <xf numFmtId="40" fontId="19" fillId="0" borderId="0" xfId="0" applyNumberFormat="1" applyFont="1" applyAlignment="1">
      <alignment horizontal="left" vertical="top" wrapText="1"/>
    </xf>
    <xf numFmtId="40" fontId="19" fillId="0" borderId="0" xfId="0" applyNumberFormat="1" applyFont="1" applyAlignment="1">
      <alignment horizontal="right" vertical="top" wrapText="1"/>
    </xf>
    <xf numFmtId="40" fontId="13" fillId="0" borderId="0" xfId="0" applyNumberFormat="1" applyFont="1" applyAlignment="1">
      <alignment vertical="top" wrapText="1"/>
    </xf>
    <xf numFmtId="0" fontId="16" fillId="0" borderId="0" xfId="0" applyFont="1" applyAlignment="1">
      <alignment vertical="top" wrapText="1"/>
    </xf>
    <xf numFmtId="40" fontId="16" fillId="0" borderId="0" xfId="0" applyNumberFormat="1" applyFont="1" applyAlignment="1">
      <alignment vertical="top" wrapText="1"/>
    </xf>
    <xf numFmtId="0" fontId="24" fillId="0" borderId="0" xfId="0" applyFont="1" applyAlignment="1">
      <alignment horizontal="left" vertical="top"/>
    </xf>
    <xf numFmtId="43" fontId="0" fillId="0" borderId="1" xfId="3" applyFont="1" applyBorder="1"/>
    <xf numFmtId="43" fontId="10" fillId="0" borderId="1" xfId="3" applyFont="1" applyBorder="1"/>
    <xf numFmtId="43" fontId="0" fillId="0" borderId="9" xfId="3" applyFont="1" applyBorder="1"/>
    <xf numFmtId="43" fontId="10" fillId="0" borderId="9" xfId="3" applyFont="1" applyBorder="1"/>
    <xf numFmtId="43" fontId="10" fillId="0" borderId="10" xfId="3" applyFont="1" applyBorder="1"/>
    <xf numFmtId="43" fontId="10" fillId="0" borderId="6" xfId="3" applyFont="1" applyBorder="1"/>
    <xf numFmtId="14" fontId="0" fillId="0" borderId="0" xfId="3" applyNumberFormat="1" applyFont="1" applyAlignment="1">
      <alignment horizontal="left" vertical="center" wrapText="1"/>
    </xf>
    <xf numFmtId="43" fontId="10" fillId="0" borderId="0" xfId="3" applyFont="1" applyBorder="1"/>
    <xf numFmtId="43" fontId="10" fillId="0" borderId="0" xfId="3" applyFont="1"/>
    <xf numFmtId="43" fontId="0" fillId="0" borderId="8" xfId="3" applyFont="1" applyBorder="1"/>
    <xf numFmtId="43" fontId="0" fillId="0" borderId="5" xfId="3" applyFont="1" applyBorder="1"/>
    <xf numFmtId="43" fontId="11" fillId="0" borderId="0" xfId="3" applyFont="1" applyAlignment="1">
      <alignment vertical="top" wrapText="1"/>
    </xf>
    <xf numFmtId="43" fontId="26" fillId="0" borderId="0" xfId="3" applyFont="1"/>
    <xf numFmtId="43" fontId="26" fillId="0" borderId="9" xfId="3" applyFont="1" applyBorder="1"/>
    <xf numFmtId="43" fontId="26" fillId="0" borderId="1" xfId="3" applyFont="1" applyBorder="1"/>
    <xf numFmtId="0" fontId="16" fillId="0" borderId="0" xfId="0" applyFont="1" applyAlignment="1">
      <alignment horizontal="center" vertical="center" wrapText="1"/>
    </xf>
    <xf numFmtId="14" fontId="18" fillId="0" borderId="0" xfId="0" applyNumberFormat="1" applyFont="1" applyAlignment="1">
      <alignment horizontal="right" vertical="top"/>
    </xf>
    <xf numFmtId="14" fontId="22" fillId="0" borderId="0" xfId="0" applyNumberFormat="1" applyFont="1" applyAlignment="1">
      <alignment horizontal="right" vertical="top"/>
    </xf>
    <xf numFmtId="40" fontId="16" fillId="0" borderId="1" xfId="0" applyNumberFormat="1" applyFont="1" applyBorder="1" applyAlignment="1">
      <alignment horizontal="right" vertical="top"/>
    </xf>
    <xf numFmtId="40" fontId="16" fillId="0" borderId="0" xfId="0" applyNumberFormat="1" applyFont="1" applyAlignment="1">
      <alignment vertical="top"/>
    </xf>
    <xf numFmtId="14" fontId="22" fillId="2" borderId="6" xfId="0" applyNumberFormat="1" applyFont="1" applyFill="1" applyBorder="1" applyAlignment="1">
      <alignment horizontal="center" vertical="center" wrapText="1"/>
    </xf>
    <xf numFmtId="43" fontId="27" fillId="0" borderId="0" xfId="3" applyFont="1"/>
    <xf numFmtId="43" fontId="27" fillId="0" borderId="10" xfId="3" applyFont="1" applyBorder="1"/>
    <xf numFmtId="43" fontId="27" fillId="0" borderId="12" xfId="3" applyFont="1" applyBorder="1"/>
    <xf numFmtId="43" fontId="27" fillId="0" borderId="6" xfId="3" applyFont="1" applyBorder="1"/>
    <xf numFmtId="43" fontId="27" fillId="0" borderId="13" xfId="3" applyFont="1" applyBorder="1"/>
    <xf numFmtId="43" fontId="28" fillId="0" borderId="0" xfId="3" applyFont="1"/>
    <xf numFmtId="43" fontId="28" fillId="0" borderId="10" xfId="3" applyFont="1" applyBorder="1"/>
    <xf numFmtId="43" fontId="28" fillId="0" borderId="6" xfId="3" applyFont="1" applyBorder="1"/>
    <xf numFmtId="43" fontId="28" fillId="0" borderId="12" xfId="3" applyFont="1" applyBorder="1"/>
    <xf numFmtId="43" fontId="28" fillId="0" borderId="13" xfId="3" applyFont="1" applyBorder="1"/>
    <xf numFmtId="43" fontId="0" fillId="0" borderId="10" xfId="3" applyFont="1" applyBorder="1"/>
    <xf numFmtId="43" fontId="0" fillId="0" borderId="12" xfId="3" applyFont="1" applyBorder="1"/>
    <xf numFmtId="43" fontId="0" fillId="0" borderId="6" xfId="3" applyFont="1" applyBorder="1"/>
    <xf numFmtId="43" fontId="0" fillId="0" borderId="13" xfId="3" applyFont="1" applyBorder="1"/>
    <xf numFmtId="43" fontId="29" fillId="0" borderId="0" xfId="3" applyFont="1"/>
    <xf numFmtId="14" fontId="16" fillId="0" borderId="0" xfId="0" applyNumberFormat="1" applyFont="1" applyAlignment="1">
      <alignment horizontal="center" vertical="center" wrapText="1"/>
    </xf>
    <xf numFmtId="0" fontId="16" fillId="0" borderId="0" xfId="0" applyFont="1" applyAlignment="1">
      <alignment horizontal="center" vertical="top" wrapText="1"/>
    </xf>
    <xf numFmtId="40" fontId="23" fillId="0" borderId="0" xfId="0" applyNumberFormat="1" applyFont="1" applyAlignment="1">
      <alignment horizontal="center" vertical="top" wrapText="1"/>
    </xf>
    <xf numFmtId="40" fontId="16" fillId="4" borderId="1" xfId="0" applyNumberFormat="1" applyFont="1" applyFill="1" applyBorder="1" applyAlignment="1">
      <alignment horizontal="right" vertical="top"/>
    </xf>
    <xf numFmtId="40" fontId="15" fillId="5" borderId="6" xfId="0" applyNumberFormat="1" applyFont="1" applyFill="1" applyBorder="1" applyAlignment="1">
      <alignment horizontal="center" vertical="center" wrapText="1"/>
    </xf>
    <xf numFmtId="43" fontId="30" fillId="0" borderId="0" xfId="3" applyFont="1"/>
    <xf numFmtId="43" fontId="31" fillId="0" borderId="0" xfId="3" applyFont="1" applyBorder="1"/>
    <xf numFmtId="43" fontId="31" fillId="0" borderId="0" xfId="3" applyFont="1"/>
    <xf numFmtId="164" fontId="23" fillId="0" borderId="0" xfId="0" applyNumberFormat="1" applyFont="1" applyAlignment="1">
      <alignment horizontal="center" vertical="top"/>
    </xf>
    <xf numFmtId="43" fontId="32" fillId="0" borderId="0" xfId="3" applyFont="1" applyBorder="1"/>
    <xf numFmtId="43" fontId="32" fillId="0" borderId="0" xfId="3" applyFont="1"/>
    <xf numFmtId="40" fontId="23" fillId="0" borderId="0" xfId="0" applyNumberFormat="1" applyFont="1" applyAlignment="1">
      <alignment vertical="top"/>
    </xf>
    <xf numFmtId="43" fontId="33" fillId="0" borderId="0" xfId="3" applyFont="1"/>
    <xf numFmtId="43" fontId="34" fillId="0" borderId="0" xfId="3" applyFont="1"/>
    <xf numFmtId="43" fontId="33" fillId="0" borderId="0" xfId="3" applyFont="1" applyBorder="1"/>
    <xf numFmtId="43" fontId="34" fillId="0" borderId="0" xfId="3" applyFont="1" applyBorder="1"/>
    <xf numFmtId="43" fontId="35" fillId="0" borderId="0" xfId="3" applyFont="1"/>
    <xf numFmtId="14" fontId="15" fillId="0" borderId="7" xfId="1" applyNumberFormat="1" applyFont="1" applyBorder="1" applyAlignment="1">
      <alignment horizontal="center" vertical="center" wrapText="1"/>
    </xf>
    <xf numFmtId="14" fontId="15" fillId="0" borderId="15" xfId="1" applyNumberFormat="1" applyFont="1" applyBorder="1" applyAlignment="1">
      <alignment horizontal="center" vertical="center" wrapText="1"/>
    </xf>
    <xf numFmtId="40" fontId="15" fillId="0" borderId="7" xfId="1" applyNumberFormat="1" applyFont="1" applyBorder="1" applyAlignment="1">
      <alignment horizontal="center" vertical="center" wrapText="1"/>
    </xf>
    <xf numFmtId="14" fontId="16" fillId="4" borderId="7" xfId="0" applyNumberFormat="1" applyFont="1" applyFill="1" applyBorder="1" applyAlignment="1">
      <alignment horizontal="left" vertical="top" wrapText="1"/>
    </xf>
    <xf numFmtId="40" fontId="16" fillId="4" borderId="15" xfId="0" applyNumberFormat="1" applyFont="1" applyFill="1" applyBorder="1" applyAlignment="1">
      <alignment horizontal="right" vertical="top"/>
    </xf>
    <xf numFmtId="14" fontId="16" fillId="0" borderId="7" xfId="0" applyNumberFormat="1" applyFont="1" applyBorder="1" applyAlignment="1">
      <alignment horizontal="left" vertical="top" wrapText="1"/>
    </xf>
    <xf numFmtId="40" fontId="16" fillId="4" borderId="15" xfId="0" applyNumberFormat="1" applyFont="1" applyFill="1" applyBorder="1" applyAlignment="1">
      <alignment vertical="top"/>
    </xf>
    <xf numFmtId="40" fontId="16" fillId="0" borderId="15" xfId="0" applyNumberFormat="1" applyFont="1" applyBorder="1" applyAlignment="1">
      <alignment vertical="top"/>
    </xf>
    <xf numFmtId="40" fontId="16" fillId="0" borderId="7" xfId="0" applyNumberFormat="1" applyFont="1" applyBorder="1" applyAlignment="1">
      <alignment horizontal="right" vertical="top"/>
    </xf>
    <xf numFmtId="14" fontId="22" fillId="4" borderId="2" xfId="0" applyNumberFormat="1" applyFont="1" applyFill="1" applyBorder="1" applyAlignment="1">
      <alignment horizontal="left" vertical="top" wrapText="1"/>
    </xf>
    <xf numFmtId="40" fontId="16" fillId="0" borderId="15" xfId="0" applyNumberFormat="1" applyFont="1" applyBorder="1" applyAlignment="1">
      <alignment horizontal="right" vertical="top"/>
    </xf>
    <xf numFmtId="38" fontId="36" fillId="0" borderId="18" xfId="0" applyNumberFormat="1" applyFont="1" applyBorder="1" applyAlignment="1">
      <alignment horizontal="center" vertical="center" wrapText="1"/>
    </xf>
    <xf numFmtId="38" fontId="36" fillId="6" borderId="14" xfId="0" applyNumberFormat="1" applyFont="1" applyFill="1" applyBorder="1" applyAlignment="1">
      <alignment horizontal="center" vertical="center" wrapText="1"/>
    </xf>
    <xf numFmtId="38" fontId="36" fillId="0" borderId="3" xfId="0" applyNumberFormat="1" applyFont="1" applyBorder="1" applyAlignment="1">
      <alignment vertical="top"/>
    </xf>
    <xf numFmtId="0" fontId="36" fillId="0" borderId="1" xfId="0" applyFont="1" applyBorder="1" applyAlignment="1">
      <alignment vertical="top" wrapText="1"/>
    </xf>
    <xf numFmtId="38" fontId="37" fillId="0" borderId="1" xfId="0" applyNumberFormat="1" applyFont="1" applyBorder="1" applyAlignment="1">
      <alignment horizontal="right" vertical="center"/>
    </xf>
    <xf numFmtId="38" fontId="36" fillId="7" borderId="3" xfId="3" applyNumberFormat="1" applyFont="1" applyFill="1" applyBorder="1" applyAlignment="1">
      <alignment horizontal="center" vertical="center"/>
    </xf>
    <xf numFmtId="38" fontId="36" fillId="7" borderId="1" xfId="3" applyNumberFormat="1" applyFont="1" applyFill="1" applyBorder="1" applyAlignment="1">
      <alignment horizontal="center" vertical="center"/>
    </xf>
    <xf numFmtId="38" fontId="36" fillId="7" borderId="4" xfId="3" applyNumberFormat="1" applyFont="1" applyFill="1" applyBorder="1" applyAlignment="1">
      <alignment horizontal="center" vertical="center"/>
    </xf>
    <xf numFmtId="38" fontId="36" fillId="0" borderId="4" xfId="0" applyNumberFormat="1" applyFont="1" applyBorder="1" applyAlignment="1">
      <alignment vertical="top"/>
    </xf>
    <xf numFmtId="38" fontId="36" fillId="0" borderId="24" xfId="0" applyNumberFormat="1" applyFont="1" applyBorder="1" applyAlignment="1">
      <alignment vertical="top"/>
    </xf>
    <xf numFmtId="165" fontId="0" fillId="0" borderId="0" xfId="0" applyNumberFormat="1"/>
    <xf numFmtId="9" fontId="0" fillId="0" borderId="0" xfId="4" applyFont="1"/>
    <xf numFmtId="43" fontId="0" fillId="0" borderId="0" xfId="0" applyNumberFormat="1"/>
    <xf numFmtId="40" fontId="15" fillId="0" borderId="26" xfId="1" applyNumberFormat="1" applyFont="1" applyFill="1" applyBorder="1" applyAlignment="1">
      <alignment horizontal="center" vertical="center" wrapText="1"/>
    </xf>
    <xf numFmtId="40" fontId="16" fillId="0" borderId="26" xfId="0" applyNumberFormat="1" applyFont="1" applyBorder="1" applyAlignment="1">
      <alignment horizontal="right" vertical="top"/>
    </xf>
    <xf numFmtId="40" fontId="16" fillId="4" borderId="26" xfId="0" applyNumberFormat="1" applyFont="1" applyFill="1" applyBorder="1" applyAlignment="1">
      <alignment vertical="top"/>
    </xf>
    <xf numFmtId="40" fontId="16" fillId="0" borderId="26" xfId="0" applyNumberFormat="1" applyFont="1" applyBorder="1" applyAlignment="1">
      <alignment vertical="top"/>
    </xf>
    <xf numFmtId="40" fontId="22" fillId="4" borderId="3" xfId="0" applyNumberFormat="1" applyFont="1" applyFill="1" applyBorder="1" applyAlignment="1">
      <alignment horizontal="right" vertical="top"/>
    </xf>
    <xf numFmtId="38" fontId="0" fillId="0" borderId="0" xfId="0" applyNumberFormat="1"/>
    <xf numFmtId="38" fontId="36" fillId="0" borderId="4" xfId="0" applyNumberFormat="1" applyFont="1" applyBorder="1" applyAlignment="1">
      <alignment horizontal="right" vertical="top"/>
    </xf>
    <xf numFmtId="40" fontId="23" fillId="0" borderId="0" xfId="0" applyNumberFormat="1" applyFont="1" applyAlignment="1">
      <alignment horizontal="left" vertical="top" wrapText="1"/>
    </xf>
    <xf numFmtId="0" fontId="0" fillId="0" borderId="0" xfId="0" applyAlignment="1">
      <alignment vertical="top" wrapText="1"/>
    </xf>
    <xf numFmtId="43" fontId="43" fillId="0" borderId="0" xfId="3" applyFont="1" applyBorder="1"/>
    <xf numFmtId="43" fontId="43" fillId="0" borderId="0" xfId="3" applyFont="1"/>
    <xf numFmtId="40" fontId="42" fillId="0" borderId="0" xfId="0" applyNumberFormat="1" applyFont="1" applyAlignment="1">
      <alignment vertical="top" wrapText="1"/>
    </xf>
    <xf numFmtId="40" fontId="42" fillId="0" borderId="0" xfId="0" applyNumberFormat="1" applyFont="1" applyAlignment="1">
      <alignment horizontal="center" vertical="center" wrapText="1"/>
    </xf>
    <xf numFmtId="166" fontId="42" fillId="0" borderId="0" xfId="0" applyNumberFormat="1" applyFont="1" applyAlignment="1">
      <alignment horizontal="center" vertical="center" wrapText="1"/>
    </xf>
    <xf numFmtId="14" fontId="22" fillId="0" borderId="1" xfId="0" applyNumberFormat="1" applyFont="1" applyBorder="1" applyAlignment="1">
      <alignment horizontal="center" vertical="center" wrapText="1"/>
    </xf>
    <xf numFmtId="40" fontId="22" fillId="0" borderId="1" xfId="0" applyNumberFormat="1" applyFont="1" applyBorder="1" applyAlignment="1">
      <alignment horizontal="center" vertical="center" wrapText="1"/>
    </xf>
    <xf numFmtId="40" fontId="16" fillId="2" borderId="1" xfId="0" applyNumberFormat="1" applyFont="1" applyFill="1" applyBorder="1" applyAlignment="1">
      <alignment vertical="top" wrapText="1"/>
    </xf>
    <xf numFmtId="40" fontId="16" fillId="2" borderId="1" xfId="0" applyNumberFormat="1" applyFont="1" applyFill="1" applyBorder="1" applyAlignment="1">
      <alignment horizontal="right" vertical="top"/>
    </xf>
    <xf numFmtId="166" fontId="42" fillId="0" borderId="27" xfId="0" applyNumberFormat="1" applyFont="1" applyBorder="1" applyAlignment="1">
      <alignment horizontal="center" vertical="center" wrapText="1"/>
    </xf>
    <xf numFmtId="40" fontId="14" fillId="0" borderId="0" xfId="0" applyNumberFormat="1" applyFont="1" applyAlignment="1">
      <alignment horizontal="center" vertical="center" wrapText="1"/>
    </xf>
    <xf numFmtId="0" fontId="20" fillId="0" borderId="0" xfId="0" applyFont="1" applyAlignment="1">
      <alignment vertical="top" wrapText="1"/>
    </xf>
    <xf numFmtId="0" fontId="20" fillId="0" borderId="0" xfId="0" applyFont="1" applyAlignment="1">
      <alignment horizontal="center" vertical="center" wrapText="1"/>
    </xf>
    <xf numFmtId="40" fontId="20" fillId="0" borderId="0" xfId="0" applyNumberFormat="1" applyFont="1"/>
    <xf numFmtId="40" fontId="20" fillId="0" borderId="0" xfId="0" applyNumberFormat="1" applyFont="1" applyAlignment="1">
      <alignment horizontal="center" vertical="center" wrapText="1"/>
    </xf>
    <xf numFmtId="164" fontId="23" fillId="0" borderId="0" xfId="0" applyNumberFormat="1" applyFont="1" applyAlignment="1">
      <alignment horizontal="center" vertical="top" wrapText="1"/>
    </xf>
    <xf numFmtId="40" fontId="16" fillId="4" borderId="7" xfId="0" applyNumberFormat="1" applyFont="1" applyFill="1" applyBorder="1" applyAlignment="1">
      <alignment horizontal="right" vertical="top"/>
    </xf>
    <xf numFmtId="40" fontId="16" fillId="0" borderId="7" xfId="0" applyNumberFormat="1" applyFont="1" applyBorder="1" applyAlignment="1">
      <alignment vertical="top"/>
    </xf>
    <xf numFmtId="40" fontId="22" fillId="4" borderId="2" xfId="0" applyNumberFormat="1" applyFont="1" applyFill="1" applyBorder="1" applyAlignment="1">
      <alignment horizontal="right" vertical="top"/>
    </xf>
    <xf numFmtId="38" fontId="36" fillId="0" borderId="1" xfId="0" applyNumberFormat="1" applyFont="1" applyBorder="1" applyAlignment="1">
      <alignment vertical="top"/>
    </xf>
    <xf numFmtId="38" fontId="36" fillId="0" borderId="9" xfId="0" applyNumberFormat="1" applyFont="1" applyBorder="1" applyAlignment="1">
      <alignment horizontal="right" vertical="top"/>
    </xf>
    <xf numFmtId="38" fontId="36" fillId="0" borderId="9" xfId="0" applyNumberFormat="1" applyFont="1" applyBorder="1" applyAlignment="1">
      <alignment vertical="top"/>
    </xf>
    <xf numFmtId="0" fontId="24" fillId="0" borderId="0" xfId="0" applyFont="1" applyAlignment="1">
      <alignment horizontal="left" vertical="top" wrapText="1"/>
    </xf>
    <xf numFmtId="40" fontId="16" fillId="0" borderId="1" xfId="0" applyNumberFormat="1" applyFont="1" applyBorder="1"/>
    <xf numFmtId="40" fontId="42" fillId="0" borderId="0" xfId="0" applyNumberFormat="1" applyFont="1" applyAlignment="1">
      <alignment horizontal="right"/>
    </xf>
    <xf numFmtId="40" fontId="16" fillId="0" borderId="1" xfId="0" applyNumberFormat="1" applyFont="1" applyBorder="1" applyAlignment="1">
      <alignment vertical="top"/>
    </xf>
    <xf numFmtId="40" fontId="16" fillId="0" borderId="1" xfId="0" applyNumberFormat="1" applyFont="1" applyBorder="1" applyAlignment="1">
      <alignment vertical="center"/>
    </xf>
    <xf numFmtId="40" fontId="16" fillId="0" borderId="1" xfId="0" applyNumberFormat="1" applyFont="1" applyBorder="1" applyAlignment="1">
      <alignment horizontal="right" vertical="center" wrapText="1"/>
    </xf>
    <xf numFmtId="167" fontId="23" fillId="0" borderId="0" xfId="0" applyNumberFormat="1" applyFont="1" applyAlignment="1">
      <alignment horizontal="center" vertical="top" wrapText="1"/>
    </xf>
    <xf numFmtId="40" fontId="16" fillId="0" borderId="0" xfId="0" applyNumberFormat="1" applyFont="1" applyAlignment="1">
      <alignment horizontal="center" vertical="center" wrapText="1"/>
    </xf>
    <xf numFmtId="40" fontId="22" fillId="0" borderId="1" xfId="0" applyNumberFormat="1" applyFont="1" applyBorder="1" applyAlignment="1">
      <alignment horizontal="right" vertical="top" wrapText="1"/>
    </xf>
    <xf numFmtId="14" fontId="13" fillId="0" borderId="0" xfId="0" applyNumberFormat="1" applyFont="1" applyAlignment="1">
      <alignment vertical="top" wrapText="1"/>
    </xf>
    <xf numFmtId="14" fontId="22" fillId="0" borderId="1" xfId="0" applyNumberFormat="1" applyFont="1" applyBorder="1" applyAlignment="1">
      <alignment horizontal="right" vertical="top" wrapText="1"/>
    </xf>
    <xf numFmtId="40" fontId="16" fillId="4" borderId="7" xfId="0" applyNumberFormat="1" applyFont="1" applyFill="1" applyBorder="1" applyAlignment="1">
      <alignment vertical="top"/>
    </xf>
    <xf numFmtId="40" fontId="19" fillId="0" borderId="25" xfId="0" applyNumberFormat="1" applyFont="1" applyBorder="1" applyAlignment="1">
      <alignment vertical="top" wrapText="1"/>
    </xf>
    <xf numFmtId="40" fontId="19" fillId="0" borderId="0" xfId="0" applyNumberFormat="1" applyFont="1" applyAlignment="1">
      <alignment vertical="top" wrapText="1"/>
    </xf>
    <xf numFmtId="40" fontId="16" fillId="8" borderId="1" xfId="0" applyNumberFormat="1" applyFont="1" applyFill="1" applyBorder="1" applyAlignment="1">
      <alignment horizontal="right" vertical="top"/>
    </xf>
    <xf numFmtId="0" fontId="44" fillId="0" borderId="0" xfId="0" applyFont="1"/>
    <xf numFmtId="40" fontId="23" fillId="0" borderId="0" xfId="0" applyNumberFormat="1" applyFont="1" applyAlignment="1">
      <alignment horizontal="right" vertical="top"/>
    </xf>
    <xf numFmtId="8" fontId="11" fillId="0" borderId="0" xfId="0" applyNumberFormat="1" applyFont="1" applyAlignment="1">
      <alignment vertical="top" wrapText="1"/>
    </xf>
    <xf numFmtId="40" fontId="16" fillId="0" borderId="0" xfId="0" applyNumberFormat="1" applyFont="1" applyAlignment="1">
      <alignment horizontal="center" vertical="top" wrapText="1"/>
    </xf>
    <xf numFmtId="38" fontId="37" fillId="0" borderId="2" xfId="0" applyNumberFormat="1" applyFont="1" applyBorder="1" applyAlignment="1">
      <alignment horizontal="right" vertical="top" wrapText="1"/>
    </xf>
    <xf numFmtId="38" fontId="36" fillId="0" borderId="3" xfId="0" applyNumberFormat="1" applyFont="1" applyBorder="1" applyAlignment="1">
      <alignment horizontal="right" vertical="top"/>
    </xf>
    <xf numFmtId="0" fontId="16" fillId="0" borderId="0" xfId="0" applyFont="1" applyAlignment="1">
      <alignment horizontal="left" vertical="top" wrapText="1"/>
    </xf>
    <xf numFmtId="8" fontId="0" fillId="0" borderId="0" xfId="0" applyNumberFormat="1"/>
    <xf numFmtId="43" fontId="0" fillId="0" borderId="0" xfId="3" applyFont="1" applyFill="1"/>
    <xf numFmtId="40" fontId="16" fillId="8" borderId="7" xfId="0" applyNumberFormat="1" applyFont="1" applyFill="1" applyBorder="1" applyAlignment="1">
      <alignment horizontal="right" vertical="top"/>
    </xf>
    <xf numFmtId="40" fontId="16" fillId="8" borderId="26" xfId="0" applyNumberFormat="1" applyFont="1" applyFill="1" applyBorder="1" applyAlignment="1">
      <alignment horizontal="right" vertical="top"/>
    </xf>
    <xf numFmtId="40" fontId="23" fillId="0" borderId="0" xfId="0" applyNumberFormat="1" applyFont="1" applyAlignment="1">
      <alignment horizontal="right" vertical="top" wrapText="1"/>
    </xf>
    <xf numFmtId="40" fontId="16" fillId="0" borderId="0" xfId="0" applyNumberFormat="1" applyFont="1" applyAlignment="1">
      <alignment horizontal="center"/>
    </xf>
    <xf numFmtId="43" fontId="45" fillId="0" borderId="0" xfId="3" applyFont="1"/>
    <xf numFmtId="40" fontId="16" fillId="0" borderId="0" xfId="0" applyNumberFormat="1" applyFont="1" applyAlignment="1">
      <alignment horizontal="right"/>
    </xf>
    <xf numFmtId="38" fontId="36" fillId="9" borderId="3" xfId="0" applyNumberFormat="1" applyFont="1" applyFill="1" applyBorder="1" applyAlignment="1">
      <alignment vertical="top"/>
    </xf>
    <xf numFmtId="38" fontId="36" fillId="10" borderId="1" xfId="0" applyNumberFormat="1" applyFont="1" applyFill="1" applyBorder="1" applyAlignment="1">
      <alignment vertical="top"/>
    </xf>
    <xf numFmtId="43" fontId="46" fillId="0" borderId="0" xfId="3" applyFont="1"/>
    <xf numFmtId="0" fontId="47" fillId="0" borderId="0" xfId="0" applyFont="1" applyAlignment="1">
      <alignment vertical="top"/>
    </xf>
    <xf numFmtId="14" fontId="16" fillId="0" borderId="0" xfId="0" applyNumberFormat="1" applyFont="1" applyAlignment="1">
      <alignment horizontal="left" vertical="top" wrapText="1"/>
    </xf>
    <xf numFmtId="14" fontId="16" fillId="0" borderId="0" xfId="0" applyNumberFormat="1" applyFont="1" applyAlignment="1">
      <alignment vertical="top" wrapText="1"/>
    </xf>
    <xf numFmtId="0" fontId="0" fillId="0" borderId="0" xfId="0" applyAlignment="1">
      <alignment horizontal="left" vertical="top"/>
    </xf>
    <xf numFmtId="43" fontId="50" fillId="0" borderId="0" xfId="3" applyFont="1"/>
    <xf numFmtId="3" fontId="0" fillId="0" borderId="0" xfId="0" applyNumberFormat="1"/>
    <xf numFmtId="0" fontId="11" fillId="0" borderId="0" xfId="0" applyFont="1" applyAlignment="1">
      <alignment horizontal="left" vertical="center"/>
    </xf>
    <xf numFmtId="14" fontId="11" fillId="0" borderId="0" xfId="0" applyNumberFormat="1" applyFont="1" applyAlignment="1">
      <alignment vertical="center" wrapText="1"/>
    </xf>
    <xf numFmtId="0" fontId="51" fillId="0" borderId="0" xfId="0" applyFont="1" applyAlignment="1">
      <alignment horizontal="left" vertical="top"/>
    </xf>
    <xf numFmtId="43" fontId="52" fillId="0" borderId="0" xfId="3" applyFont="1"/>
    <xf numFmtId="40" fontId="19" fillId="0" borderId="0" xfId="0" applyNumberFormat="1" applyFont="1" applyAlignment="1">
      <alignment horizontal="center" vertical="top" wrapText="1"/>
    </xf>
    <xf numFmtId="40" fontId="25" fillId="5" borderId="11" xfId="1" applyNumberFormat="1" applyFont="1" applyFill="1" applyBorder="1" applyAlignment="1">
      <alignment horizontal="center" vertical="center" wrapText="1"/>
    </xf>
    <xf numFmtId="40" fontId="13" fillId="0" borderId="0" xfId="0" applyNumberFormat="1" applyFont="1" applyAlignment="1">
      <alignment horizontal="center" vertical="center" wrapText="1"/>
    </xf>
    <xf numFmtId="14" fontId="13" fillId="0" borderId="0" xfId="0" applyNumberFormat="1" applyFont="1" applyAlignment="1">
      <alignment horizontal="center" vertical="top" wrapText="1"/>
    </xf>
    <xf numFmtId="0" fontId="24" fillId="0" borderId="0" xfId="0" applyFont="1" applyAlignment="1">
      <alignment horizontal="left" vertical="top" wrapText="1"/>
    </xf>
    <xf numFmtId="0" fontId="5" fillId="0" borderId="0" xfId="0" applyFont="1" applyAlignment="1">
      <alignment horizontal="left" vertical="top" wrapText="1"/>
    </xf>
    <xf numFmtId="0" fontId="11" fillId="0" borderId="0" xfId="0" applyFont="1" applyAlignment="1">
      <alignment horizontal="left" vertical="top" wrapText="1"/>
    </xf>
    <xf numFmtId="0" fontId="13" fillId="0" borderId="0" xfId="0" applyFont="1" applyAlignment="1">
      <alignment horizontal="left" vertical="top" wrapText="1"/>
    </xf>
    <xf numFmtId="43" fontId="5" fillId="0" borderId="0" xfId="3" applyFont="1" applyAlignment="1">
      <alignment horizontal="left" vertical="top" wrapText="1"/>
    </xf>
    <xf numFmtId="43" fontId="2" fillId="0" borderId="0" xfId="3" applyFont="1" applyAlignment="1">
      <alignment horizontal="left" vertical="top" wrapText="1"/>
    </xf>
    <xf numFmtId="43" fontId="4" fillId="0" borderId="0" xfId="3" applyFont="1" applyAlignment="1">
      <alignment horizontal="left" vertical="top" wrapText="1"/>
    </xf>
    <xf numFmtId="43" fontId="4" fillId="0" borderId="0" xfId="3" applyFont="1" applyBorder="1" applyAlignment="1">
      <alignment horizontal="left" vertical="top" wrapText="1"/>
    </xf>
    <xf numFmtId="43" fontId="3" fillId="0" borderId="0" xfId="3" applyFont="1" applyAlignment="1">
      <alignment horizontal="left" vertical="top" wrapText="1"/>
    </xf>
    <xf numFmtId="0" fontId="0" fillId="2" borderId="0" xfId="0" applyFill="1" applyAlignment="1">
      <alignment horizontal="left" vertical="top" wrapText="1"/>
    </xf>
    <xf numFmtId="0" fontId="7" fillId="3" borderId="0" xfId="2" applyFont="1" applyFill="1" applyAlignment="1">
      <alignment horizontal="left" vertical="top" wrapText="1"/>
    </xf>
    <xf numFmtId="0" fontId="7" fillId="0" borderId="0" xfId="2" applyFont="1" applyAlignment="1">
      <alignment horizontal="left" vertical="top" wrapText="1"/>
    </xf>
    <xf numFmtId="0" fontId="0" fillId="0" borderId="0" xfId="0" applyAlignment="1">
      <alignment horizontal="left" vertical="top" wrapText="1"/>
    </xf>
    <xf numFmtId="0" fontId="2" fillId="0" borderId="0" xfId="0" applyFont="1" applyAlignment="1">
      <alignment horizontal="left" vertical="top"/>
    </xf>
    <xf numFmtId="0" fontId="53" fillId="0" borderId="0" xfId="0" applyFont="1" applyAlignment="1">
      <alignment horizontal="left" vertical="top" wrapText="1"/>
    </xf>
    <xf numFmtId="0" fontId="0" fillId="3" borderId="0" xfId="0" applyFill="1" applyAlignment="1">
      <alignment horizontal="left" vertical="top" wrapText="1"/>
    </xf>
    <xf numFmtId="0" fontId="2" fillId="0" borderId="0" xfId="0" applyFont="1" applyAlignment="1">
      <alignment horizontal="left" vertical="top" wrapText="1"/>
    </xf>
    <xf numFmtId="0" fontId="0" fillId="0" borderId="0" xfId="0" applyAlignment="1">
      <alignment horizontal="left" vertical="top"/>
    </xf>
    <xf numFmtId="0" fontId="54" fillId="2" borderId="0" xfId="0" applyFont="1" applyFill="1" applyAlignment="1">
      <alignment horizontal="left" vertical="top" wrapText="1"/>
    </xf>
    <xf numFmtId="38" fontId="37" fillId="7" borderId="19" xfId="0" applyNumberFormat="1" applyFont="1" applyFill="1" applyBorder="1" applyAlignment="1">
      <alignment horizontal="center" vertical="center"/>
    </xf>
    <xf numFmtId="38" fontId="37" fillId="7" borderId="20" xfId="0" applyNumberFormat="1" applyFont="1" applyFill="1" applyBorder="1" applyAlignment="1">
      <alignment horizontal="center" vertical="center"/>
    </xf>
    <xf numFmtId="38" fontId="37" fillId="7" borderId="21" xfId="0" applyNumberFormat="1" applyFont="1" applyFill="1" applyBorder="1" applyAlignment="1">
      <alignment horizontal="center" vertical="center"/>
    </xf>
    <xf numFmtId="38" fontId="37" fillId="7" borderId="22" xfId="0" applyNumberFormat="1" applyFont="1" applyFill="1" applyBorder="1" applyAlignment="1">
      <alignment horizontal="center" vertical="top"/>
    </xf>
    <xf numFmtId="38" fontId="37" fillId="7" borderId="23" xfId="0" applyNumberFormat="1" applyFont="1" applyFill="1" applyBorder="1" applyAlignment="1">
      <alignment horizontal="center" vertical="top"/>
    </xf>
    <xf numFmtId="38" fontId="36" fillId="0" borderId="16" xfId="0" applyNumberFormat="1" applyFont="1" applyBorder="1" applyAlignment="1">
      <alignment horizontal="left" vertical="center" wrapText="1"/>
    </xf>
    <xf numFmtId="38" fontId="36" fillId="0" borderId="17" xfId="0" applyNumberFormat="1" applyFont="1" applyBorder="1" applyAlignment="1">
      <alignment horizontal="left" vertical="center" wrapText="1"/>
    </xf>
  </cellXfs>
  <cellStyles count="46">
    <cellStyle name="Comma" xfId="3" builtinId="3"/>
    <cellStyle name="Comma 2" xfId="9" xr:uid="{00000000-0005-0000-0000-000001000000}"/>
    <cellStyle name="Comma 3" xfId="10" xr:uid="{00000000-0005-0000-0000-000002000000}"/>
    <cellStyle name="Currency" xfId="1" builtinId="4"/>
    <cellStyle name="Currency 2" xfId="11" xr:uid="{00000000-0005-0000-0000-000004000000}"/>
    <cellStyle name="Currency 3" xfId="12" xr:uid="{00000000-0005-0000-0000-000005000000}"/>
    <cellStyle name="Normal" xfId="0" builtinId="0"/>
    <cellStyle name="Normal 10" xfId="13" xr:uid="{00000000-0005-0000-0000-000007000000}"/>
    <cellStyle name="Normal 11" xfId="14" xr:uid="{00000000-0005-0000-0000-000008000000}"/>
    <cellStyle name="Normal 12" xfId="15" xr:uid="{00000000-0005-0000-0000-000009000000}"/>
    <cellStyle name="Normal 13" xfId="16" xr:uid="{00000000-0005-0000-0000-00000A000000}"/>
    <cellStyle name="Normal 14" xfId="17" xr:uid="{00000000-0005-0000-0000-00000B000000}"/>
    <cellStyle name="Normal 15" xfId="18" xr:uid="{00000000-0005-0000-0000-00000C000000}"/>
    <cellStyle name="Normal 16" xfId="19" xr:uid="{00000000-0005-0000-0000-00000D000000}"/>
    <cellStyle name="Normal 17" xfId="20" xr:uid="{00000000-0005-0000-0000-00000E000000}"/>
    <cellStyle name="Normal 18" xfId="21" xr:uid="{00000000-0005-0000-0000-00000F000000}"/>
    <cellStyle name="Normal 19" xfId="22" xr:uid="{00000000-0005-0000-0000-000010000000}"/>
    <cellStyle name="Normal 2" xfId="6" xr:uid="{00000000-0005-0000-0000-000011000000}"/>
    <cellStyle name="Normal 2 2" xfId="8" xr:uid="{00000000-0005-0000-0000-000012000000}"/>
    <cellStyle name="Normal 2 3" xfId="7" xr:uid="{00000000-0005-0000-0000-000013000000}"/>
    <cellStyle name="Normal 2 4" xfId="45" xr:uid="{00000000-0005-0000-0000-000014000000}"/>
    <cellStyle name="Normal 20" xfId="23" xr:uid="{00000000-0005-0000-0000-000015000000}"/>
    <cellStyle name="Normal 21" xfId="24" xr:uid="{00000000-0005-0000-0000-000016000000}"/>
    <cellStyle name="Normal 22" xfId="25" xr:uid="{00000000-0005-0000-0000-000017000000}"/>
    <cellStyle name="Normal 23" xfId="26" xr:uid="{00000000-0005-0000-0000-000018000000}"/>
    <cellStyle name="Normal 24" xfId="27" xr:uid="{00000000-0005-0000-0000-000019000000}"/>
    <cellStyle name="Normal 25" xfId="28" xr:uid="{00000000-0005-0000-0000-00001A000000}"/>
    <cellStyle name="Normal 26" xfId="29" xr:uid="{00000000-0005-0000-0000-00001B000000}"/>
    <cellStyle name="Normal 27" xfId="30" xr:uid="{00000000-0005-0000-0000-00001C000000}"/>
    <cellStyle name="Normal 28" xfId="31" xr:uid="{00000000-0005-0000-0000-00001D000000}"/>
    <cellStyle name="Normal 29" xfId="32" xr:uid="{00000000-0005-0000-0000-00001E000000}"/>
    <cellStyle name="Normal 3" xfId="33" xr:uid="{00000000-0005-0000-0000-00001F000000}"/>
    <cellStyle name="Normal 3 2" xfId="34" xr:uid="{00000000-0005-0000-0000-000020000000}"/>
    <cellStyle name="Normal 4" xfId="5" xr:uid="{00000000-0005-0000-0000-000021000000}"/>
    <cellStyle name="Normal 4 2" xfId="36" xr:uid="{00000000-0005-0000-0000-000022000000}"/>
    <cellStyle name="Normal 4 3" xfId="35" xr:uid="{00000000-0005-0000-0000-000023000000}"/>
    <cellStyle name="Normal 5" xfId="37" xr:uid="{00000000-0005-0000-0000-000024000000}"/>
    <cellStyle name="Normal 5 2" xfId="38" xr:uid="{00000000-0005-0000-0000-000025000000}"/>
    <cellStyle name="Normal 6" xfId="39" xr:uid="{00000000-0005-0000-0000-000026000000}"/>
    <cellStyle name="Normal 7" xfId="40" xr:uid="{00000000-0005-0000-0000-000027000000}"/>
    <cellStyle name="Normal 8" xfId="41" xr:uid="{00000000-0005-0000-0000-000028000000}"/>
    <cellStyle name="Normal 9" xfId="42" xr:uid="{00000000-0005-0000-0000-000029000000}"/>
    <cellStyle name="Normal_Notes" xfId="2" xr:uid="{00000000-0005-0000-0000-00002A000000}"/>
    <cellStyle name="Percent" xfId="4" builtinId="5"/>
    <cellStyle name="Percent 2" xfId="43" xr:uid="{00000000-0005-0000-0000-00002C000000}"/>
    <cellStyle name="Percent 3" xfId="44" xr:uid="{00000000-0005-0000-0000-00002D000000}"/>
  </cellStyles>
  <dxfs count="123">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9"/>
        <color theme="1"/>
        <name val="Arial Unicode MS"/>
        <family val="2"/>
        <scheme val="none"/>
      </font>
      <numFmt numFmtId="8" formatCode="#,##0.00_);[Red]\(#,##0.00\)"/>
      <alignment horizontal="right" vertical="bottom"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right" vertical="bottom"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right"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right"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right"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left"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left"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left"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left"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right"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167" formatCode="m/d/yy;@"/>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center"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left"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border>
        <top style="thin">
          <color indexed="64"/>
        </top>
      </border>
    </dxf>
    <dxf>
      <border diagonalUp="0" diagonalDown="0">
        <left style="medium">
          <color indexed="64"/>
        </left>
        <right style="medium">
          <color indexed="64"/>
        </right>
        <top style="medium">
          <color indexed="64"/>
        </top>
        <bottom style="medium">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9"/>
        <color theme="1"/>
        <name val="Arial Unicode MS"/>
        <scheme val="none"/>
      </font>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scheme val="none"/>
      </font>
      <numFmt numFmtId="8" formatCode="#,##0.00_);[Red]\(#,##0.00\)"/>
      <alignment horizontal="center" vertical="center" textRotation="0" wrapText="1" indent="0" justifyLastLine="0" shrinkToFit="0" readingOrder="0"/>
    </dxf>
    <dxf>
      <border outline="0">
        <right style="thin">
          <color indexed="64"/>
        </right>
      </border>
    </dxf>
    <dxf>
      <font>
        <b val="0"/>
        <i val="0"/>
        <strike val="0"/>
        <condense val="0"/>
        <extend val="0"/>
        <outline val="0"/>
        <shadow val="0"/>
        <u val="none"/>
        <vertAlign val="baseline"/>
        <sz val="9"/>
        <color theme="1"/>
        <name val="Arial Unicode MS"/>
        <scheme val="none"/>
      </font>
      <alignment horizontal="center" vertical="bottom" textRotation="0" wrapText="0" indent="0" justifyLastLine="0" shrinkToFit="0" readingOrder="0"/>
    </dxf>
    <dxf>
      <font>
        <b val="0"/>
        <i val="0"/>
        <strike val="0"/>
        <condense val="0"/>
        <extend val="0"/>
        <outline val="0"/>
        <shadow val="0"/>
        <u val="none"/>
        <vertAlign val="baseline"/>
        <sz val="9"/>
        <color theme="1"/>
        <name val="Arial Unicode MS"/>
        <scheme val="none"/>
      </font>
      <numFmt numFmtId="166" formatCode="mm/dd/yyyy"/>
      <alignment horizontal="center" vertical="center" textRotation="0" wrapText="1" indent="0" justifyLastLine="0" shrinkToFit="0" readingOrder="0"/>
    </dxf>
    <dxf>
      <fill>
        <patternFill>
          <bgColor theme="4" tint="0.39994506668294322"/>
        </patternFill>
      </fill>
    </dxf>
    <dxf>
      <font>
        <b/>
        <i val="0"/>
      </font>
    </dxf>
    <dxf>
      <border>
        <left style="thin">
          <color auto="1"/>
        </left>
        <right style="thin">
          <color auto="1"/>
        </right>
        <top style="thin">
          <color auto="1"/>
        </top>
        <bottom style="thin">
          <color auto="1"/>
        </bottom>
        <vertical style="thin">
          <color auto="1"/>
        </vertical>
        <horizontal style="thin">
          <color auto="1"/>
        </horizontal>
      </border>
    </dxf>
    <dxf>
      <fill>
        <patternFill>
          <bgColor rgb="FFA2B9E2"/>
        </patternFill>
      </fill>
    </dxf>
    <dxf>
      <fill>
        <patternFill>
          <bgColor rgb="FFF4AF80"/>
        </patternFill>
      </fill>
    </dxf>
    <dxf>
      <fill>
        <patternFill>
          <bgColor rgb="FFCFB855"/>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Table Style 1" pivot="0" count="2" xr9:uid="{00000000-0011-0000-FFFF-FFFF00000000}">
      <tableStyleElement type="wholeTable" dxfId="122"/>
      <tableStyleElement type="firstRowStripe" dxfId="121"/>
    </tableStyle>
    <tableStyle name="Table Style 2" pivot="0" count="1" xr9:uid="{00000000-0011-0000-FFFF-FFFF01000000}">
      <tableStyleElement type="firstRowStripe" dxfId="120"/>
    </tableStyle>
    <tableStyle name="Table Style 3" pivot="0" count="1" xr9:uid="{00000000-0011-0000-FFFF-FFFF02000000}">
      <tableStyleElement type="firstRowStripe" dxfId="119"/>
    </tableStyle>
    <tableStyle name="Table Style 4" pivot="0" count="3" xr9:uid="{00000000-0011-0000-FFFF-FFFF03000000}">
      <tableStyleElement type="wholeTable" dxfId="118"/>
      <tableStyleElement type="headerRow" dxfId="117"/>
      <tableStyleElement type="firstRowStripe" dxfId="116"/>
    </tableStyle>
  </tableStyles>
  <colors>
    <mruColors>
      <color rgb="FFCC99FF"/>
      <color rgb="FF9999FF"/>
      <color rgb="FFFABF8F"/>
      <color rgb="FFF2DCDB"/>
      <color rgb="FFACEAAC"/>
      <color rgb="FFC9FFF5"/>
      <color rgb="FFFFCCFF"/>
      <color rgb="FFDDD9C4"/>
      <color rgb="FFA2B9E2"/>
      <color rgb="FFF4AF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4</xdr:col>
      <xdr:colOff>1059140</xdr:colOff>
      <xdr:row>3</xdr:row>
      <xdr:rowOff>243417</xdr:rowOff>
    </xdr:from>
    <xdr:ext cx="184730" cy="937629"/>
    <xdr:sp macro="" textlink="">
      <xdr:nvSpPr>
        <xdr:cNvPr id="2" name="Rectangle 1">
          <a:extLst>
            <a:ext uri="{FF2B5EF4-FFF2-40B4-BE49-F238E27FC236}">
              <a16:creationId xmlns:a16="http://schemas.microsoft.com/office/drawing/2014/main" id="{00000000-0008-0000-0000-000002000000}"/>
            </a:ext>
          </a:extLst>
        </xdr:cNvPr>
        <xdr:cNvSpPr/>
      </xdr:nvSpPr>
      <xdr:spPr>
        <a:xfrm>
          <a:off x="4583390" y="1100667"/>
          <a:ext cx="184730" cy="937629"/>
        </a:xfrm>
        <a:prstGeom prst="rect">
          <a:avLst/>
        </a:prstGeom>
        <a:noFill/>
      </xdr:spPr>
      <xdr:txBody>
        <a:bodyPr wrap="none" lIns="91440" tIns="45720" rIns="91440" bIns="45720">
          <a:sp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endParaRPr lang="en-US" sz="5400" b="1" cap="none" spc="0">
            <a:ln w="11430"/>
            <a:solidFill>
              <a:srgbClr val="FF0000"/>
            </a:solidFill>
            <a:effectLst>
              <a:outerShdw blurRad="50800" dist="39000" dir="5460000" algn="tl">
                <a:srgbClr val="000000">
                  <a:alpha val="38000"/>
                </a:srgbClr>
              </a:outerShdw>
            </a:effectLst>
          </a:endParaRPr>
        </a:p>
      </xdr:txBody>
    </xdr:sp>
    <xdr:clientData/>
  </xdr:one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MS Access Database" growShrinkType="insertClear" adjustColumnWidth="0" connectionId="1" xr16:uid="{00000000-0016-0000-0000-000000000000}" autoFormatId="16" applyNumberFormats="0" applyBorderFormats="0" applyFontFormats="0" applyPatternFormats="0" applyAlignmentFormats="0" applyWidthHeightFormats="0">
  <queryTableRefresh nextId="26" unboundColumnsRight="2">
    <queryTableFields count="25">
      <queryTableField id="1" name="ADOT#" tableColumnId="26"/>
      <queryTableField id="2" name="TIP#" tableColumnId="27"/>
      <queryTableField id="3" name="Sponsor" tableColumnId="28"/>
      <queryTableField id="4" name="Action/15" tableColumnId="29"/>
      <queryTableField id="5" name="Location" tableColumnId="30"/>
      <queryTableField id="6" name="RTE" tableColumnId="31"/>
      <queryTableField id="7" name="SEC" tableColumnId="32"/>
      <queryTableField id="8" name="SEQ" tableColumnId="33"/>
      <queryTableField id="9" name="PB Expected" tableColumnId="34"/>
      <queryTableField id="10" name="PB Received" tableColumnId="35"/>
      <queryTableField id="11" name="PF Transmitted" tableColumnId="36"/>
      <queryTableField id="12" name="Finance Authorization" tableColumnId="37"/>
      <queryTableField id="13" name="HURF EX" tableColumnId="38"/>
      <queryTableField id="14" name="HSIP" tableColumnId="39"/>
      <queryTableField id="15" name="PL" tableColumnId="40"/>
      <queryTableField id="16" name="PL-SATO" tableColumnId="41"/>
      <queryTableField id="17" name="SPR" tableColumnId="42"/>
      <queryTableField id="18" name="STP &lt;5" tableColumnId="43"/>
      <queryTableField id="19" name="STP 5-200" tableColumnId="44"/>
      <queryTableField id="20" name="STP 5-50" tableColumnId="45"/>
      <queryTableField id="21" name="STP 50-200" tableColumnId="46"/>
      <queryTableField id="22" name="CRP 50-200" tableColumnId="47"/>
      <queryTableField id="23" name="STP other" tableColumnId="48"/>
      <queryTableField id="25" dataBound="0" tableColumnId="49"/>
      <queryTableField id="24" dataBound="0" tableColumnId="50"/>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Query from MS Access Database_1" growShrinkType="insertClear" adjustColumnWidth="0" connectionId="4" xr16:uid="{00000000-0016-0000-0000-000001000000}" autoFormatId="16" applyNumberFormats="0" applyBorderFormats="0" applyFontFormats="0" applyPatternFormats="0" applyAlignmentFormats="0" applyWidthHeightFormats="0">
  <queryTableRefresh nextId="26" unboundColumnsRight="2">
    <queryTableFields count="25">
      <queryTableField id="1" name="ADOT#" tableColumnId="1"/>
      <queryTableField id="2" name="TIP#" tableColumnId="2"/>
      <queryTableField id="3" name="Sponsor" tableColumnId="3"/>
      <queryTableField id="4" name="Action/15" tableColumnId="4"/>
      <queryTableField id="5" name="Location" tableColumnId="5"/>
      <queryTableField id="6" name="RTE" tableColumnId="6"/>
      <queryTableField id="7" name="SEC" tableColumnId="7"/>
      <queryTableField id="8" name="SEQ" tableColumnId="8"/>
      <queryTableField id="9" name="PB Expected" tableColumnId="9"/>
      <queryTableField id="10" name="PB Received" tableColumnId="10"/>
      <queryTableField id="11" name="PF Transmitted" tableColumnId="11"/>
      <queryTableField id="12" name="Finance Authorization" tableColumnId="12"/>
      <queryTableField id="13" name="HURF EX" tableColumnId="13"/>
      <queryTableField id="14" name="HSIP" tableColumnId="14"/>
      <queryTableField id="15" name="PL" tableColumnId="15"/>
      <queryTableField id="16" name="PL-SATO" tableColumnId="16"/>
      <queryTableField id="17" name="SPR" tableColumnId="17"/>
      <queryTableField id="18" name="STP &lt;5" tableColumnId="18"/>
      <queryTableField id="19" name="STP 5-200" tableColumnId="19"/>
      <queryTableField id="20" name="STP 5-50" tableColumnId="20"/>
      <queryTableField id="21" name="STP 50-200" tableColumnId="21"/>
      <queryTableField id="22" name="CRP 50-200" tableColumnId="22"/>
      <queryTableField id="23" name="STP OTHER" tableColumnId="23"/>
      <queryTableField id="25" dataBound="0" tableColumnId="24"/>
      <queryTableField id="24" dataBound="0" tableColumnId="25"/>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Query from MS Access Database" growShrinkType="insertClear" connectionId="2" xr16:uid="{00000000-0016-0000-0100-000002000000}" autoFormatId="16" applyNumberFormats="0" applyBorderFormats="0" applyFontFormats="0" applyPatternFormats="0" applyAlignmentFormats="0" applyWidthHeightFormats="0">
  <queryTableRefresh preserveSortFilterLayout="0" nextId="28">
    <queryTableFields count="27">
      <queryTableField id="1" name="Transaction Year" tableColumnId="28"/>
      <queryTableField id="2" name="Transaction Type" tableColumnId="29"/>
      <queryTableField id="3" name="Number" tableColumnId="30"/>
      <queryTableField id="4" name="From" tableColumnId="31"/>
      <queryTableField id="5" name="To" tableColumnId="32"/>
      <queryTableField id="6" name="Repayment Year" tableColumnId="33"/>
      <queryTableField id="7" name="Project8" tableColumnId="34"/>
      <queryTableField id="8" name="Notes" tableColumnId="35"/>
      <queryTableField id="9" name="Total" tableColumnId="36"/>
      <queryTableField id="10" name="CMAQ" tableColumnId="37"/>
      <queryTableField id="11" name="CMAQ 25" tableColumnId="38"/>
      <queryTableField id="12" name="HURF Exchange" tableColumnId="39"/>
      <queryTableField id="13" name="HSIP" tableColumnId="40"/>
      <queryTableField id="14" name="PLAN" tableColumnId="41"/>
      <queryTableField id="15" name="PLAN SATO" tableColumnId="42"/>
      <queryTableField id="16" name="SPR" tableColumnId="43"/>
      <queryTableField id="17" name="STP &lt;5" tableColumnId="44"/>
      <queryTableField id="18" name="STP 5-2" tableColumnId="45"/>
      <queryTableField id="19" name="STP 5-50" tableColumnId="46"/>
      <queryTableField id="20" name="STP 50-200" tableColumnId="47"/>
      <queryTableField id="21" name="CRP 50-200" tableColumnId="48"/>
      <queryTableField id="22" name="STP FLEX" tableColumnId="49"/>
      <queryTableField id="23" name="STP &gt;200" tableColumnId="50"/>
      <queryTableField id="24" name="TAP FLEX" tableColumnId="51"/>
      <queryTableField id="25" name="TAP &gt;200" tableColumnId="52"/>
      <queryTableField id="26" name="TAP &lt;5" tableColumnId="53"/>
      <queryTableField id="27" name="TAP 5-2" tableColumnId="54"/>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Query from MS Access Database_1" growShrinkType="insertClear" connectionId="3" xr16:uid="{00000000-0016-0000-0100-000003000000}" autoFormatId="16" applyNumberFormats="0" applyBorderFormats="0" applyFontFormats="0" applyPatternFormats="0" applyAlignmentFormats="0" applyWidthHeightFormats="0">
  <queryTableRefresh preserveSortFilterLayout="0" nextId="28">
    <queryTableFields count="27">
      <queryTableField id="1" name="Transaction Year" tableColumnId="28"/>
      <queryTableField id="2" name="Transaction Type" tableColumnId="29"/>
      <queryTableField id="3" name="Number" tableColumnId="30"/>
      <queryTableField id="4" name="From" tableColumnId="31"/>
      <queryTableField id="5" name="To" tableColumnId="32"/>
      <queryTableField id="6" name="Repayment Year" tableColumnId="33"/>
      <queryTableField id="7" name="Project8" tableColumnId="34"/>
      <queryTableField id="8" name="Notes" tableColumnId="35"/>
      <queryTableField id="9" name="Total" tableColumnId="36"/>
      <queryTableField id="10" name="CMAQ" tableColumnId="37"/>
      <queryTableField id="11" name="CMAQ 25" tableColumnId="38"/>
      <queryTableField id="12" name="HURF Exchange" tableColumnId="39"/>
      <queryTableField id="13" name="HSIP" tableColumnId="40"/>
      <queryTableField id="14" name="PLAN" tableColumnId="41"/>
      <queryTableField id="15" name="PLAN SATO" tableColumnId="42"/>
      <queryTableField id="16" name="SPR" tableColumnId="43"/>
      <queryTableField id="17" name="STP &lt;5" tableColumnId="44"/>
      <queryTableField id="18" name="STP 5-2" tableColumnId="45"/>
      <queryTableField id="19" name="STP 5-50" tableColumnId="46"/>
      <queryTableField id="20" name="STP 50-200" tableColumnId="47"/>
      <queryTableField id="21" name="CRP 50-200" tableColumnId="48"/>
      <queryTableField id="22" name="STP FLEX" tableColumnId="49"/>
      <queryTableField id="23" name="STP &gt;200" tableColumnId="50"/>
      <queryTableField id="24" name="TAP FLEX" tableColumnId="51"/>
      <queryTableField id="25" name="TAP &gt;200" tableColumnId="52"/>
      <queryTableField id="26" name="TAP &lt;5" tableColumnId="53"/>
      <queryTableField id="27" name="TAP 5-2" tableColumnId="5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Table_Query_from_MS_Access_Database8" displayName="Table_Query_from_MS_Access_Database8" ref="A15:Y21" tableType="queryTable" totalsRowShown="0" headerRowDxfId="115" dataDxfId="114" tableBorderDxfId="113">
  <autoFilter ref="A15:Y21" xr:uid="{00000000-0009-0000-0100-000007000000}"/>
  <tableColumns count="25">
    <tableColumn id="26" xr3:uid="{00000000-0010-0000-0000-00001A000000}" uniqueName="26" name="ADOT#" queryTableFieldId="1" dataDxfId="78"/>
    <tableColumn id="27" xr3:uid="{00000000-0010-0000-0000-00001B000000}" uniqueName="27" name="TIP#" queryTableFieldId="2" dataDxfId="77"/>
    <tableColumn id="28" xr3:uid="{00000000-0010-0000-0000-00001C000000}" uniqueName="28" name="Sponsor" queryTableFieldId="3" dataDxfId="76"/>
    <tableColumn id="29" xr3:uid="{00000000-0010-0000-0000-00001D000000}" uniqueName="29" name="Action/15" queryTableFieldId="4" dataDxfId="75"/>
    <tableColumn id="30" xr3:uid="{00000000-0010-0000-0000-00001E000000}" uniqueName="30" name="Location" queryTableFieldId="5" dataDxfId="74"/>
    <tableColumn id="31" xr3:uid="{00000000-0010-0000-0000-00001F000000}" uniqueName="31" name="RTE" queryTableFieldId="6" dataDxfId="73"/>
    <tableColumn id="32" xr3:uid="{00000000-0010-0000-0000-000020000000}" uniqueName="32" name="SEC" queryTableFieldId="7" dataDxfId="72"/>
    <tableColumn id="33" xr3:uid="{00000000-0010-0000-0000-000021000000}" uniqueName="33" name="SEQ" queryTableFieldId="8" dataDxfId="71"/>
    <tableColumn id="34" xr3:uid="{00000000-0010-0000-0000-000022000000}" uniqueName="34" name="PB Expected" queryTableFieldId="9" dataDxfId="70"/>
    <tableColumn id="35" xr3:uid="{00000000-0010-0000-0000-000023000000}" uniqueName="35" name="PB Received" queryTableFieldId="10" dataDxfId="69"/>
    <tableColumn id="36" xr3:uid="{00000000-0010-0000-0000-000024000000}" uniqueName="36" name="PF Transmitted" queryTableFieldId="11" dataDxfId="68"/>
    <tableColumn id="37" xr3:uid="{00000000-0010-0000-0000-000025000000}" uniqueName="37" name="Finance Authorization" queryTableFieldId="12" dataDxfId="67"/>
    <tableColumn id="38" xr3:uid="{00000000-0010-0000-0000-000026000000}" uniqueName="38" name="HURF EX" queryTableFieldId="13" dataDxfId="66"/>
    <tableColumn id="39" xr3:uid="{00000000-0010-0000-0000-000027000000}" uniqueName="39" name="HSIP" queryTableFieldId="14" dataDxfId="65"/>
    <tableColumn id="40" xr3:uid="{00000000-0010-0000-0000-000028000000}" uniqueName="40" name="PL" queryTableFieldId="15" dataDxfId="64"/>
    <tableColumn id="41" xr3:uid="{00000000-0010-0000-0000-000029000000}" uniqueName="41" name="PL-SATO" queryTableFieldId="16" dataDxfId="63"/>
    <tableColumn id="42" xr3:uid="{00000000-0010-0000-0000-00002A000000}" uniqueName="42" name="SPR" queryTableFieldId="17" dataDxfId="62"/>
    <tableColumn id="43" xr3:uid="{00000000-0010-0000-0000-00002B000000}" uniqueName="43" name="STP &lt;5" queryTableFieldId="18" dataDxfId="61"/>
    <tableColumn id="44" xr3:uid="{00000000-0010-0000-0000-00002C000000}" uniqueName="44" name="STP 5-200" queryTableFieldId="19" dataDxfId="60"/>
    <tableColumn id="45" xr3:uid="{00000000-0010-0000-0000-00002D000000}" uniqueName="45" name="STP 5-50" queryTableFieldId="20" dataDxfId="59"/>
    <tableColumn id="46" xr3:uid="{00000000-0010-0000-0000-00002E000000}" uniqueName="46" name="STP 50-200" queryTableFieldId="21" dataDxfId="58"/>
    <tableColumn id="47" xr3:uid="{00000000-0010-0000-0000-00002F000000}" uniqueName="47" name="CRP 50-200" queryTableFieldId="22" dataDxfId="57"/>
    <tableColumn id="48" xr3:uid="{00000000-0010-0000-0000-000030000000}" uniqueName="48" name="STP other" queryTableFieldId="23" dataDxfId="56"/>
    <tableColumn id="49" xr3:uid="{00000000-0010-0000-0000-000031000000}" uniqueName="49" name="TOTAL OF AMOUNT" queryTableFieldId="25" dataDxfId="55">
      <calculatedColumnFormula>SUM(Table_Query_from_MS_Access_Database8[[#This Row],[HURF EX]:[STP other]])</calculatedColumnFormula>
    </tableColumn>
    <tableColumn id="50" xr3:uid="{00000000-0010-0000-0000-000032000000}" uniqueName="50" name="DECLINING BALANCE OA" queryTableFieldId="24" dataDxfId="54">
      <calculatedColumnFormula>IF(ISTEXT(INDIRECT(ADDRESS(ROW()-1,COLUMN()))), INDIRECT(ADDRESS(12,COLUMN())),INDIRECT(ADDRESS(ROW()-1,COLUMN())))-Table_Query_from_MS_Access_Database8[[#This Row],[TOTAL OF AMOUNT]]</calculatedColumnFormula>
    </tableColumn>
  </tableColumns>
  <tableStyleInfo name="Table Style 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1000000}" name="Table_Query_from_MS_Access_Database_1" displayName="Table_Query_from_MS_Access_Database_1" ref="A32:Y38" tableType="queryTable" totalsRowShown="0" headerRowDxfId="112" dataDxfId="111">
  <autoFilter ref="A32:Y38" xr:uid="{00000000-0009-0000-0100-000008000000}"/>
  <tableColumns count="25">
    <tableColumn id="1" xr3:uid="{00000000-0010-0000-0100-000001000000}" uniqueName="1" name="ADOT#" queryTableFieldId="1" dataDxfId="103"/>
    <tableColumn id="2" xr3:uid="{00000000-0010-0000-0100-000002000000}" uniqueName="2" name="TIP#" queryTableFieldId="2" dataDxfId="102"/>
    <tableColumn id="3" xr3:uid="{00000000-0010-0000-0100-000003000000}" uniqueName="3" name="Sponsor" queryTableFieldId="3" dataDxfId="101"/>
    <tableColumn id="4" xr3:uid="{00000000-0010-0000-0100-000004000000}" uniqueName="4" name="Action/15" queryTableFieldId="4" dataDxfId="100"/>
    <tableColumn id="5" xr3:uid="{00000000-0010-0000-0100-000005000000}" uniqueName="5" name="Location" queryTableFieldId="5" dataDxfId="99"/>
    <tableColumn id="6" xr3:uid="{00000000-0010-0000-0100-000006000000}" uniqueName="6" name="RTE" queryTableFieldId="6" dataDxfId="98"/>
    <tableColumn id="7" xr3:uid="{00000000-0010-0000-0100-000007000000}" uniqueName="7" name="SEC" queryTableFieldId="7" dataDxfId="97"/>
    <tableColumn id="8" xr3:uid="{00000000-0010-0000-0100-000008000000}" uniqueName="8" name="SEQ" queryTableFieldId="8" dataDxfId="96"/>
    <tableColumn id="9" xr3:uid="{00000000-0010-0000-0100-000009000000}" uniqueName="9" name="PB Expected" queryTableFieldId="9" dataDxfId="95"/>
    <tableColumn id="10" xr3:uid="{00000000-0010-0000-0100-00000A000000}" uniqueName="10" name="PB Received" queryTableFieldId="10" dataDxfId="94"/>
    <tableColumn id="11" xr3:uid="{00000000-0010-0000-0100-00000B000000}" uniqueName="11" name="PF Transmitted" queryTableFieldId="11" dataDxfId="93"/>
    <tableColumn id="12" xr3:uid="{00000000-0010-0000-0100-00000C000000}" uniqueName="12" name="Finance Authorization" queryTableFieldId="12" dataDxfId="92"/>
    <tableColumn id="13" xr3:uid="{00000000-0010-0000-0100-00000D000000}" uniqueName="13" name="HURF EX" queryTableFieldId="13" dataDxfId="91"/>
    <tableColumn id="14" xr3:uid="{00000000-0010-0000-0100-00000E000000}" uniqueName="14" name="HSIP" queryTableFieldId="14" dataDxfId="90"/>
    <tableColumn id="15" xr3:uid="{00000000-0010-0000-0100-00000F000000}" uniqueName="15" name="PL" queryTableFieldId="15" dataDxfId="89"/>
    <tableColumn id="16" xr3:uid="{00000000-0010-0000-0100-000010000000}" uniqueName="16" name="PL-SATO" queryTableFieldId="16" dataDxfId="88"/>
    <tableColumn id="17" xr3:uid="{00000000-0010-0000-0100-000011000000}" uniqueName="17" name="SPR" queryTableFieldId="17" dataDxfId="87"/>
    <tableColumn id="18" xr3:uid="{00000000-0010-0000-0100-000012000000}" uniqueName="18" name="STP &lt;5" queryTableFieldId="18" dataDxfId="86"/>
    <tableColumn id="19" xr3:uid="{00000000-0010-0000-0100-000013000000}" uniqueName="19" name="STP 5-200" queryTableFieldId="19" dataDxfId="85"/>
    <tableColumn id="20" xr3:uid="{00000000-0010-0000-0100-000014000000}" uniqueName="20" name="STP 5-50" queryTableFieldId="20" dataDxfId="84"/>
    <tableColumn id="21" xr3:uid="{00000000-0010-0000-0100-000015000000}" uniqueName="21" name="STP 50-200" queryTableFieldId="21" dataDxfId="83"/>
    <tableColumn id="22" xr3:uid="{00000000-0010-0000-0100-000016000000}" uniqueName="22" name="CRP 50-200" queryTableFieldId="22" dataDxfId="82"/>
    <tableColumn id="23" xr3:uid="{00000000-0010-0000-0100-000017000000}" uniqueName="23" name="STP OTHER" queryTableFieldId="23" dataDxfId="81"/>
    <tableColumn id="24" xr3:uid="{00000000-0010-0000-0100-000018000000}" uniqueName="24" name="TOTAL OF AMOUNT" queryTableFieldId="25" dataDxfId="80">
      <calculatedColumnFormula>SUM(Table_Query_from_MS_Access_Database_1[[#This Row],[HURF EX]:[STP OTHER]])</calculatedColumnFormula>
    </tableColumn>
    <tableColumn id="25" xr3:uid="{00000000-0010-0000-0100-000019000000}" uniqueName="25" name="DECLINING BALANCE OA" queryTableFieldId="24" dataDxfId="79">
      <calculatedColumnFormula>IF(ISTEXT(INDIRECT(ADDRESS(ROW()-1,COLUMN()))), INDIRECT(ADDRESS(12,COLUMN()))-SUM(Table_Query_from_MS_Access_Database8[TOTAL OF AMOUNT]),INDIRECT(ADDRESS(ROW()-1,COLUMN())))-Table_Query_from_MS_Access_Database_1[[#This Row],[TOTAL OF AMOUNT]]</calculatedColumnFormula>
    </tableColumn>
  </tableColumns>
  <tableStyleInfo name="Table Style 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_Query_from_MS_Access_Database" displayName="Table_Query_from_MS_Access_Database" ref="A11:AA89" tableType="queryTable" totalsRowShown="0" headerRowDxfId="110" headerRowBorderDxfId="109" tableBorderDxfId="108" totalsRowBorderDxfId="107" headerRowCellStyle="Comma" dataCellStyle="Comma">
  <autoFilter ref="A11:AA89" xr:uid="{00000000-000C-0000-FFFF-FFFF02000000}"/>
  <tableColumns count="27">
    <tableColumn id="28" xr3:uid="{F95D6914-9031-406E-9065-894BFFEAC148}" uniqueName="28" name="Transaction Year" queryTableFieldId="1" dataDxfId="26" dataCellStyle="Comma"/>
    <tableColumn id="29" xr3:uid="{8BF21C35-0C14-4448-8C95-3E3C66593011}" uniqueName="29" name="Transaction Type" queryTableFieldId="2" dataDxfId="25" dataCellStyle="Comma"/>
    <tableColumn id="30" xr3:uid="{E3EB8A2A-E640-47F7-9E84-14F97E50907B}" uniqueName="30" name="Number" queryTableFieldId="3" dataDxfId="24" dataCellStyle="Comma"/>
    <tableColumn id="31" xr3:uid="{4F250363-C4CF-42F2-88E4-89EB746E9B7A}" uniqueName="31" name="From" queryTableFieldId="4" dataDxfId="23" dataCellStyle="Comma"/>
    <tableColumn id="32" xr3:uid="{5B762680-1D4D-4A76-A80E-D8777CBDDECD}" uniqueName="32" name="To" queryTableFieldId="5" dataDxfId="22" dataCellStyle="Comma"/>
    <tableColumn id="33" xr3:uid="{E5F0A6F1-C8B5-4060-AB36-B7A39D3002E4}" uniqueName="33" name="Repayment Year" queryTableFieldId="6" dataDxfId="21" dataCellStyle="Comma"/>
    <tableColumn id="34" xr3:uid="{33F15DB3-A191-4B07-9419-E2D5BA6D214D}" uniqueName="34" name="Project8" queryTableFieldId="7" dataDxfId="20" dataCellStyle="Comma"/>
    <tableColumn id="35" xr3:uid="{76C01119-DE42-40BC-972D-33847B1FF0BF}" uniqueName="35" name="Notes" queryTableFieldId="8" dataDxfId="19" dataCellStyle="Comma"/>
    <tableColumn id="36" xr3:uid="{E458E6BE-6E59-44D1-AD08-E7C5C85BE423}" uniqueName="36" name="Total" queryTableFieldId="9" dataDxfId="18" dataCellStyle="Comma"/>
    <tableColumn id="37" xr3:uid="{ACBE3E82-6306-4FBE-991C-5D5645400FD9}" uniqueName="37" name="CMAQ" queryTableFieldId="10" dataDxfId="17" dataCellStyle="Comma"/>
    <tableColumn id="38" xr3:uid="{124ADEDF-D03B-453A-B068-44331AD58AC8}" uniqueName="38" name="CMAQ 25" queryTableFieldId="11" dataDxfId="16" dataCellStyle="Comma"/>
    <tableColumn id="39" xr3:uid="{795FB4B2-9837-4FFB-B5AF-6A9FD8022957}" uniqueName="39" name="HURF Exchange" queryTableFieldId="12" dataDxfId="15" dataCellStyle="Comma"/>
    <tableColumn id="40" xr3:uid="{66C45903-D101-49C0-8911-56E3BC76F8FC}" uniqueName="40" name="HSIP" queryTableFieldId="13" dataDxfId="14" dataCellStyle="Comma"/>
    <tableColumn id="41" xr3:uid="{FDE0827C-965C-4743-923F-492FB0CF573D}" uniqueName="41" name="PLAN" queryTableFieldId="14" dataDxfId="13" dataCellStyle="Comma"/>
    <tableColumn id="42" xr3:uid="{B85A2827-4885-4BA3-AD90-45C21DE7C1AC}" uniqueName="42" name="PLAN SATO" queryTableFieldId="15" dataDxfId="12" dataCellStyle="Comma"/>
    <tableColumn id="43" xr3:uid="{2B8E1E36-0DDA-4C57-94FF-93306A70474D}" uniqueName="43" name="SPR" queryTableFieldId="16" dataDxfId="11" dataCellStyle="Comma"/>
    <tableColumn id="44" xr3:uid="{432AE476-E20C-4016-B144-90AEB140866F}" uniqueName="44" name="STP &lt;5" queryTableFieldId="17" dataDxfId="10" dataCellStyle="Comma"/>
    <tableColumn id="45" xr3:uid="{61A1434F-BB68-4A8E-9943-97066FB9457E}" uniqueName="45" name="STP 5-2" queryTableFieldId="18" dataDxfId="9" dataCellStyle="Comma"/>
    <tableColumn id="46" xr3:uid="{C22618A9-C467-4A59-BF92-CC1B0637011D}" uniqueName="46" name="STP 5-50" queryTableFieldId="19" dataDxfId="8" dataCellStyle="Comma"/>
    <tableColumn id="47" xr3:uid="{A3A961F8-1E62-4F4B-B541-B510D8AB14A6}" uniqueName="47" name="STP 50-200" queryTableFieldId="20" dataDxfId="7" dataCellStyle="Comma"/>
    <tableColumn id="48" xr3:uid="{9A9BBB3E-E543-40BA-A0EF-081BDF96B01F}" uniqueName="48" name="CRP 50-200" queryTableFieldId="21" dataDxfId="6" dataCellStyle="Comma"/>
    <tableColumn id="49" xr3:uid="{1B7EF26C-2141-4A28-81F1-703AAE3C03DD}" uniqueName="49" name="STP FLEX" queryTableFieldId="22" dataDxfId="5" dataCellStyle="Comma"/>
    <tableColumn id="50" xr3:uid="{8D74C754-248F-4463-9578-5C648C78C214}" uniqueName="50" name="STP &gt;200" queryTableFieldId="23" dataDxfId="4" dataCellStyle="Comma"/>
    <tableColumn id="51" xr3:uid="{62AD16C2-FC1F-422F-9E90-29145D99C908}" uniqueName="51" name="TAP FLEX" queryTableFieldId="24" dataDxfId="3" dataCellStyle="Comma"/>
    <tableColumn id="52" xr3:uid="{CEA253C7-99E8-4D2B-A405-FA32A6D91F09}" uniqueName="52" name="TAP &gt;200" queryTableFieldId="25" dataDxfId="2" dataCellStyle="Comma"/>
    <tableColumn id="53" xr3:uid="{AD9C0D5E-E062-4846-AF11-66ADB214B57A}" uniqueName="53" name="TAP &lt;5" queryTableFieldId="26" dataDxfId="1" dataCellStyle="Comma"/>
    <tableColumn id="54" xr3:uid="{276994D1-FE33-4CD9-8C57-44914F30355D}" uniqueName="54" name="TAP 5-2" queryTableFieldId="27" dataDxfId="0" dataCellStyle="Comma"/>
  </tableColumns>
  <tableStyleInfo name="Table Style 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_Query_from_MS_Access_Database_16" displayName="Table_Query_from_MS_Access_Database_16" ref="A104:AA181" tableType="queryTable" totalsRowShown="0" headerRowDxfId="106" dataDxfId="105" tableBorderDxfId="104" headerRowCellStyle="Comma" dataCellStyle="Comma">
  <autoFilter ref="A104:AA181" xr:uid="{00000000-000C-0000-FFFF-FFFF03000000}"/>
  <tableColumns count="27">
    <tableColumn id="28" xr3:uid="{9EE197B0-E622-43BF-8189-6722C27CA729}" uniqueName="28" name="Transaction Year" queryTableFieldId="1" dataDxfId="53" dataCellStyle="Comma"/>
    <tableColumn id="29" xr3:uid="{30D481C1-45BF-4DC1-844E-C6E3447E8E74}" uniqueName="29" name="Transaction Type" queryTableFieldId="2" dataDxfId="52" dataCellStyle="Comma"/>
    <tableColumn id="30" xr3:uid="{60A6F089-DD25-4FE3-B164-C7E586213A8F}" uniqueName="30" name="Number" queryTableFieldId="3" dataDxfId="51" dataCellStyle="Comma"/>
    <tableColumn id="31" xr3:uid="{60A13928-F311-4FB9-97C1-FE33476BED2B}" uniqueName="31" name="From" queryTableFieldId="4" dataDxfId="50" dataCellStyle="Comma"/>
    <tableColumn id="32" xr3:uid="{A89D2690-5296-406D-9E05-241193A7C2A4}" uniqueName="32" name="To" queryTableFieldId="5" dataDxfId="49" dataCellStyle="Comma"/>
    <tableColumn id="33" xr3:uid="{41C2D5A1-71D4-43E3-93C7-4170D8193C56}" uniqueName="33" name="Repayment Year" queryTableFieldId="6" dataDxfId="48" dataCellStyle="Comma"/>
    <tableColumn id="34" xr3:uid="{F8B14C8F-4739-4607-8F85-483789143587}" uniqueName="34" name="Project8" queryTableFieldId="7" dataDxfId="47" dataCellStyle="Comma"/>
    <tableColumn id="35" xr3:uid="{93198A1F-F0CB-4D81-904D-5632E2C09234}" uniqueName="35" name="Notes" queryTableFieldId="8" dataDxfId="46" dataCellStyle="Comma"/>
    <tableColumn id="36" xr3:uid="{2317E50A-9A44-4E4C-A7F9-69D06C479A9E}" uniqueName="36" name="Total" queryTableFieldId="9" dataDxfId="45" dataCellStyle="Comma"/>
    <tableColumn id="37" xr3:uid="{4CD5CA5F-1C24-4AAA-AFB6-7A0A2B3A7E2F}" uniqueName="37" name="CMAQ" queryTableFieldId="10" dataDxfId="44" dataCellStyle="Comma"/>
    <tableColumn id="38" xr3:uid="{757EDBD2-A080-471C-A642-DE3C245273D4}" uniqueName="38" name="CMAQ 25" queryTableFieldId="11" dataDxfId="43" dataCellStyle="Comma"/>
    <tableColumn id="39" xr3:uid="{1B227271-5445-4A54-B236-18E4A5F51F5C}" uniqueName="39" name="HURF Exchange" queryTableFieldId="12" dataDxfId="42" dataCellStyle="Comma"/>
    <tableColumn id="40" xr3:uid="{0859E068-79B6-4F5F-A209-8F5336C4FDE3}" uniqueName="40" name="HSIP" queryTableFieldId="13" dataDxfId="41" dataCellStyle="Comma"/>
    <tableColumn id="41" xr3:uid="{49C086D2-5B8F-4B50-9B13-622EA7CE2BD9}" uniqueName="41" name="PLAN" queryTableFieldId="14" dataDxfId="40" dataCellStyle="Comma"/>
    <tableColumn id="42" xr3:uid="{46239321-11E6-4F16-8F53-6F7645231C4E}" uniqueName="42" name="PLAN SATO" queryTableFieldId="15" dataDxfId="39" dataCellStyle="Comma"/>
    <tableColumn id="43" xr3:uid="{6E6FE943-AA5E-4F0E-82DE-4C82957866BC}" uniqueName="43" name="SPR" queryTableFieldId="16" dataDxfId="38" dataCellStyle="Comma"/>
    <tableColumn id="44" xr3:uid="{71E7C9FE-62F4-4154-ACDE-E5548D0CEB26}" uniqueName="44" name="STP &lt;5" queryTableFieldId="17" dataDxfId="37" dataCellStyle="Comma"/>
    <tableColumn id="45" xr3:uid="{53A38249-6B80-4DA3-96C3-E72E3DB8782A}" uniqueName="45" name="STP 5-2" queryTableFieldId="18" dataDxfId="36" dataCellStyle="Comma"/>
    <tableColumn id="46" xr3:uid="{1098B5A8-47F4-4885-AA48-63342701CEA8}" uniqueName="46" name="STP 5-50" queryTableFieldId="19" dataDxfId="35" dataCellStyle="Comma"/>
    <tableColumn id="47" xr3:uid="{0ED7BDAB-C7D0-428E-867D-55608D0C6E3C}" uniqueName="47" name="STP 50-200" queryTableFieldId="20" dataDxfId="34" dataCellStyle="Comma"/>
    <tableColumn id="48" xr3:uid="{A8B647DA-EC1D-45D1-B09B-F4265C5AEBB6}" uniqueName="48" name="CRP 50-200" queryTableFieldId="21" dataDxfId="33" dataCellStyle="Comma"/>
    <tableColumn id="49" xr3:uid="{50CD2EDF-684D-49E2-A73E-2FF45F43116B}" uniqueName="49" name="STP FLEX" queryTableFieldId="22" dataDxfId="32" dataCellStyle="Comma"/>
    <tableColumn id="50" xr3:uid="{DB2E29F9-DE87-4428-AC49-BB3F7CB13D48}" uniqueName="50" name="STP &gt;200" queryTableFieldId="23" dataDxfId="31" dataCellStyle="Comma"/>
    <tableColumn id="51" xr3:uid="{C0620A43-1366-496F-A7C4-DDD244AD40B6}" uniqueName="51" name="TAP FLEX" queryTableFieldId="24" dataDxfId="30" dataCellStyle="Comma"/>
    <tableColumn id="52" xr3:uid="{A906B7D5-B7E8-4DA4-9D10-52BFD381CE51}" uniqueName="52" name="TAP &gt;200" queryTableFieldId="25" dataDxfId="29" dataCellStyle="Comma"/>
    <tableColumn id="53" xr3:uid="{25CDFC9F-4392-4BCA-BC73-26E11E410F7F}" uniqueName="53" name="TAP &lt;5" queryTableFieldId="26" dataDxfId="28" dataCellStyle="Comma"/>
    <tableColumn id="54" xr3:uid="{361856C9-5444-46F2-9079-C3D68DF2B15A}" uniqueName="54" name="TAP 5-2" queryTableFieldId="27" dataDxfId="27" dataCellStyle="Comma"/>
  </tableColumns>
  <tableStyleInfo name="Table Style 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Y65"/>
  <sheetViews>
    <sheetView tabSelected="1" topLeftCell="A3" zoomScaleNormal="100" zoomScaleSheetLayoutView="115" workbookViewId="0">
      <selection activeCell="A3" sqref="A3:C3"/>
    </sheetView>
  </sheetViews>
  <sheetFormatPr defaultColWidth="32" defaultRowHeight="13.8" outlineLevelCol="1"/>
  <cols>
    <col min="1" max="1" width="12.6640625" style="24" customWidth="1"/>
    <col min="2" max="2" width="12.5546875" style="24" customWidth="1"/>
    <col min="3" max="3" width="25" style="24" customWidth="1"/>
    <col min="4" max="4" width="11.88671875" style="24" customWidth="1"/>
    <col min="5" max="5" width="40.6640625" style="24" customWidth="1"/>
    <col min="6" max="6" width="10.88671875" style="24" hidden="1" customWidth="1" outlineLevel="1"/>
    <col min="7" max="7" width="9.109375" style="24" hidden="1" customWidth="1" outlineLevel="1"/>
    <col min="8" max="8" width="9.33203125" style="24" hidden="1" customWidth="1" outlineLevel="1"/>
    <col min="9" max="9" width="14" style="24" bestFit="1" customWidth="1" collapsed="1"/>
    <col min="10" max="10" width="16.44140625" style="24" bestFit="1" customWidth="1"/>
    <col min="11" max="11" width="12.44140625" style="24" customWidth="1"/>
    <col min="12" max="12" width="17.5546875" style="24" customWidth="1"/>
    <col min="13" max="13" width="16.6640625" style="24" customWidth="1"/>
    <col min="14" max="14" width="13.109375" style="27" customWidth="1"/>
    <col min="15" max="20" width="14.6640625" style="27" customWidth="1"/>
    <col min="21" max="21" width="16.6640625" style="24" customWidth="1"/>
    <col min="22" max="22" width="16.44140625" style="24" customWidth="1"/>
    <col min="23" max="23" width="16.109375" style="24" customWidth="1"/>
    <col min="24" max="24" width="13.44140625" style="24" customWidth="1"/>
    <col min="25" max="25" width="19.33203125" style="24" customWidth="1"/>
    <col min="26" max="16384" width="32" style="24"/>
  </cols>
  <sheetData>
    <row r="1" spans="1:25" ht="23.25" customHeight="1">
      <c r="A1" s="195" t="s">
        <v>110</v>
      </c>
      <c r="B1" s="195"/>
      <c r="C1" s="195"/>
      <c r="D1" s="195"/>
      <c r="E1" s="195"/>
      <c r="F1" s="195"/>
      <c r="J1" s="25"/>
      <c r="K1" s="26"/>
      <c r="L1" s="25"/>
      <c r="M1" s="192" t="s">
        <v>74</v>
      </c>
      <c r="N1" s="192"/>
      <c r="O1" s="192"/>
      <c r="P1" s="192"/>
      <c r="Q1" s="192"/>
      <c r="R1" s="192"/>
      <c r="S1" s="192"/>
      <c r="T1" s="192"/>
      <c r="U1" s="192"/>
      <c r="V1" s="192"/>
      <c r="W1" s="192"/>
      <c r="X1" s="192"/>
    </row>
    <row r="2" spans="1:25" ht="17.25" customHeight="1">
      <c r="J2" s="25"/>
      <c r="K2" s="25"/>
      <c r="L2" s="25"/>
      <c r="M2" s="191" t="s">
        <v>12</v>
      </c>
      <c r="N2" s="191"/>
      <c r="O2" s="191"/>
      <c r="P2" s="191"/>
      <c r="Q2" s="191"/>
      <c r="R2" s="191"/>
      <c r="S2" s="191"/>
      <c r="T2" s="191"/>
      <c r="U2" s="191"/>
      <c r="V2" s="191"/>
      <c r="W2" s="191"/>
      <c r="X2" s="191"/>
    </row>
    <row r="3" spans="1:25" ht="27.6" customHeight="1">
      <c r="A3" s="197" t="s">
        <v>309</v>
      </c>
      <c r="B3" s="197"/>
      <c r="C3" s="197"/>
      <c r="D3" s="28"/>
      <c r="E3" s="28"/>
      <c r="F3" s="28"/>
      <c r="G3" s="28"/>
      <c r="J3" s="25"/>
      <c r="K3" s="50"/>
      <c r="L3" s="92" t="s">
        <v>11</v>
      </c>
      <c r="M3" s="93" t="s">
        <v>159</v>
      </c>
      <c r="N3" s="94" t="s">
        <v>58</v>
      </c>
      <c r="O3" s="94" t="s">
        <v>42</v>
      </c>
      <c r="P3" s="130" t="s">
        <v>230</v>
      </c>
      <c r="Q3" s="94" t="s">
        <v>55</v>
      </c>
      <c r="R3" s="94" t="s">
        <v>96</v>
      </c>
      <c r="S3" s="94" t="s">
        <v>158</v>
      </c>
      <c r="T3" s="131" t="s">
        <v>223</v>
      </c>
      <c r="U3" s="131" t="s">
        <v>224</v>
      </c>
      <c r="V3" s="131" t="s">
        <v>225</v>
      </c>
      <c r="W3" s="94" t="s">
        <v>6</v>
      </c>
      <c r="X3" s="94" t="s">
        <v>10</v>
      </c>
      <c r="Y3" s="116" t="s">
        <v>15</v>
      </c>
    </row>
    <row r="4" spans="1:25" ht="31.5" customHeight="1">
      <c r="A4" s="180"/>
      <c r="E4" s="29"/>
      <c r="F4" s="29"/>
      <c r="G4" s="29"/>
      <c r="J4" s="25"/>
      <c r="K4" s="25"/>
      <c r="L4" s="95" t="s">
        <v>102</v>
      </c>
      <c r="M4" s="96">
        <v>0</v>
      </c>
      <c r="N4" s="141">
        <v>0</v>
      </c>
      <c r="O4" s="141">
        <v>0</v>
      </c>
      <c r="P4" s="141">
        <v>0</v>
      </c>
      <c r="Q4" s="141">
        <v>0</v>
      </c>
      <c r="R4" s="141">
        <v>0</v>
      </c>
      <c r="S4" s="141">
        <v>0</v>
      </c>
      <c r="T4" s="141">
        <v>0</v>
      </c>
      <c r="U4" s="141">
        <v>0</v>
      </c>
      <c r="V4" s="171">
        <v>16511.559999999998</v>
      </c>
      <c r="W4" s="171">
        <v>0</v>
      </c>
      <c r="X4" s="171">
        <f t="shared" ref="X4:X12" si="0">SUM(M4:W4)</f>
        <v>16511.559999999998</v>
      </c>
      <c r="Y4" s="172">
        <v>0</v>
      </c>
    </row>
    <row r="5" spans="1:25" ht="27" customHeight="1">
      <c r="A5" s="196" t="s">
        <v>281</v>
      </c>
      <c r="B5" s="196"/>
      <c r="C5" s="196"/>
      <c r="D5" s="196"/>
      <c r="J5" s="25"/>
      <c r="K5" s="25"/>
      <c r="L5" s="97" t="s">
        <v>92</v>
      </c>
      <c r="M5" s="102">
        <v>0</v>
      </c>
      <c r="N5" s="100">
        <v>0</v>
      </c>
      <c r="O5" s="133">
        <f>+'FY26 Apportionments'!E5</f>
        <v>162938</v>
      </c>
      <c r="P5" s="132">
        <f>+'FY26 Apportionments'!E6</f>
        <v>4178</v>
      </c>
      <c r="Q5" s="133">
        <f>+'FY26 Apportionments'!E3</f>
        <v>125000</v>
      </c>
      <c r="R5" s="133">
        <f>+'FY26 Apportionments'!E10</f>
        <v>234833</v>
      </c>
      <c r="S5" s="57">
        <f>+'FY26 Apportionments'!E7</f>
        <v>0</v>
      </c>
      <c r="T5" s="132">
        <f>+'FY26 Apportionments'!E8</f>
        <v>159168</v>
      </c>
      <c r="U5" s="132">
        <f>+'FY26 Apportionments'!E9</f>
        <v>262311</v>
      </c>
      <c r="V5" s="132">
        <f>+'FY26 Apportionments'!E11</f>
        <v>113078</v>
      </c>
      <c r="W5" s="100">
        <v>0</v>
      </c>
      <c r="X5" s="100">
        <f t="shared" si="0"/>
        <v>1061506</v>
      </c>
      <c r="Y5" s="117">
        <f>ROUND(+'Federal Funds Transactions'!$X5*0.949,0)</f>
        <v>1007369</v>
      </c>
    </row>
    <row r="6" spans="1:25">
      <c r="A6" s="186" t="s">
        <v>77</v>
      </c>
      <c r="C6" s="187">
        <v>46024</v>
      </c>
      <c r="J6" s="25"/>
      <c r="K6" s="25"/>
      <c r="L6" s="95" t="s">
        <v>66</v>
      </c>
      <c r="M6" s="98">
        <f>SUMIFS(Table_Query_from_MS_Access_Database[[#All],[HURF Exchange]],Table_Query_from_MS_Access_Database[[#All],[Transaction Year]],"2026",Table_Query_from_MS_Access_Database[[#All],[Transaction Type]],"loan in")</f>
        <v>0</v>
      </c>
      <c r="N6" s="158">
        <f>SUMIFS(Table_Query_from_MS_Access_Database[[#All],[HSIP]],Table_Query_from_MS_Access_Database[[#All],[Transaction Year]],"2026",Table_Query_from_MS_Access_Database[[#All],[Transaction Type]],"loan in")</f>
        <v>0</v>
      </c>
      <c r="O6" s="158">
        <f>SUMIFS(Table_Query_from_MS_Access_Database[[#All],[PLAN]],Table_Query_from_MS_Access_Database[[#All],[Transaction Year]],"2026",Table_Query_from_MS_Access_Database[[#All],[Transaction Type]],"loan in")</f>
        <v>0</v>
      </c>
      <c r="P6" s="158">
        <f>SUMIFS(Table_Query_from_MS_Access_Database[[#All],[PLAN SATO]],Table_Query_from_MS_Access_Database[[#All],[Transaction Year]],"2026",Table_Query_from_MS_Access_Database[[#All],[Transaction Type]],"loan in")</f>
        <v>0</v>
      </c>
      <c r="Q6" s="158">
        <f>SUMIFS(Table_Query_from_MS_Access_Database[[#All],[SPR]],Table_Query_from_MS_Access_Database[[#All],[Transaction Year]],"2026",Table_Query_from_MS_Access_Database[[#All],[Transaction Type]],"loan in")</f>
        <v>0</v>
      </c>
      <c r="R6" s="158">
        <f>SUMIFS(Table_Query_from_MS_Access_Database[[#All],[STP &lt;5]],Table_Query_from_MS_Access_Database[[#All],[Transaction Year]],"2026",Table_Query_from_MS_Access_Database[[#All],[Transaction Type]],"loan in")</f>
        <v>0</v>
      </c>
      <c r="S6" s="158">
        <f>SUMIFS(Table_Query_from_MS_Access_Database[[#All],[STP 5-2]],Table_Query_from_MS_Access_Database[[#All],[Transaction Year]],"2026",Table_Query_from_MS_Access_Database[[#All],[Transaction Type]],"loan in")</f>
        <v>0</v>
      </c>
      <c r="T6" s="158">
        <f>SUMIFS(Table_Query_from_MS_Access_Database[[#All],[STP 5-50]],Table_Query_from_MS_Access_Database[[#All],[Transaction Year]],"2026",Table_Query_from_MS_Access_Database[[#All],[Transaction Type]],"loan in")</f>
        <v>0</v>
      </c>
      <c r="U6" s="158">
        <f>SUMIFS(Table_Query_from_MS_Access_Database[[#All],[STP 50-200]],Table_Query_from_MS_Access_Database[[#All],[Transaction Year]],"2026",Table_Query_from_MS_Access_Database[[#All],[Transaction Type]],"loan in")</f>
        <v>16272.09</v>
      </c>
      <c r="V6" s="158">
        <f>SUMIFS(Table_Query_from_MS_Access_Database[[#All],[CRP 50-200]],Table_Query_from_MS_Access_Database[[#All],[Transaction Year]],"2026",Table_Query_from_MS_Access_Database[[#All],[Transaction Type]],"loan in")</f>
        <v>0</v>
      </c>
      <c r="W6" s="158">
        <f>SUMIFS(Table_Query_from_MS_Access_Database[[#All],[STP FLEX]],Table_Query_from_MS_Access_Database[[#All],[Transaction Year]],"2026",Table_Query_from_MS_Access_Database[[#All],[Transaction Type]],"loan in")</f>
        <v>0</v>
      </c>
      <c r="X6" s="141">
        <f t="shared" si="0"/>
        <v>16272.09</v>
      </c>
      <c r="Y6" s="118">
        <f>SUMIFS(Table_Query_from_MS_Access_Database_16[[#All],[Total]],Table_Query_from_MS_Access_Database_16[[#All],[Transaction Year]],"2026",Table_Query_from_MS_Access_Database_16[[#All],[Transaction Type]],"Loan In")</f>
        <v>16272.09</v>
      </c>
    </row>
    <row r="7" spans="1:25">
      <c r="A7" s="31"/>
      <c r="J7" s="25"/>
      <c r="K7" s="25"/>
      <c r="L7" s="97" t="s">
        <v>67</v>
      </c>
      <c r="M7" s="99">
        <f>SUMIFS(Table_Query_from_MS_Access_Database[[#All],[HURF Exchange]],Table_Query_from_MS_Access_Database[[#All],[Transaction Year]],"2026",Table_Query_from_MS_Access_Database[[#All],[Transaction Type]],"loan Out")</f>
        <v>0</v>
      </c>
      <c r="N7" s="142">
        <f>SUMIFS(Table_Query_from_MS_Access_Database[[#All],[HSIP]],Table_Query_from_MS_Access_Database[[#All],[Transaction Year]],"2026",Table_Query_from_MS_Access_Database[[#All],[Transaction Type]],"loan Out")</f>
        <v>0</v>
      </c>
      <c r="O7" s="142">
        <f>SUMIFS(Table_Query_from_MS_Access_Database[[#All],[PLAN]],Table_Query_from_MS_Access_Database[[#All],[Transaction Year]],"2026",Table_Query_from_MS_Access_Database[[#All],[Transaction Type]],"loan Out")</f>
        <v>0</v>
      </c>
      <c r="P7" s="142">
        <f>SUMIFS(Table_Query_from_MS_Access_Database[[#All],[PLAN SATO]],Table_Query_from_MS_Access_Database[[#All],[Transaction Year]],"2026",Table_Query_from_MS_Access_Database[[#All],[Transaction Type]],"loan Out")</f>
        <v>0</v>
      </c>
      <c r="Q7" s="142">
        <f>SUMIFS(Table_Query_from_MS_Access_Database[[#All],[SPR]],Table_Query_from_MS_Access_Database[[#All],[Transaction Year]],"2026",Table_Query_from_MS_Access_Database[[#All],[Transaction Type]],"loan Out")</f>
        <v>0</v>
      </c>
      <c r="R7" s="142">
        <f>SUMIFS(Table_Query_from_MS_Access_Database[[#All],[STP &lt;5]],Table_Query_from_MS_Access_Database[[#All],[Transaction Year]],"2026",Table_Query_from_MS_Access_Database[[#All],[Transaction Type]],"loan Out")</f>
        <v>0</v>
      </c>
      <c r="S7" s="142">
        <f>SUMIFS(Table_Query_from_MS_Access_Database[[#All],[STP 5-2]],Table_Query_from_MS_Access_Database[[#All],[Transaction Year]],"2026",Table_Query_from_MS_Access_Database[[#All],[Transaction Type]],"loan Out")</f>
        <v>0</v>
      </c>
      <c r="T7" s="142">
        <f>SUMIFS(Table_Query_from_MS_Access_Database[[#All],[STP 5-50]],Table_Query_from_MS_Access_Database[[#All],[Transaction Year]],"2026",Table_Query_from_MS_Access_Database[[#All],[Transaction Type]],"loan Out")</f>
        <v>0</v>
      </c>
      <c r="U7" s="142">
        <f>SUMIFS(Table_Query_from_MS_Access_Database[[#All],[STP 50-200]],Table_Query_from_MS_Access_Database[[#All],[Transaction Year]],"2026",Table_Query_from_MS_Access_Database[[#All],[Transaction Type]],"loan Out")</f>
        <v>0</v>
      </c>
      <c r="V7" s="142">
        <f>SUMIFS(Table_Query_from_MS_Access_Database[[#All],[CRP 50-200]],Table_Query_from_MS_Access_Database[[#All],[Transaction Year]],"2026",Table_Query_from_MS_Access_Database[[#All],[Transaction Type]],"loan Out")</f>
        <v>0</v>
      </c>
      <c r="W7" s="142">
        <f>SUMIFS(Table_Query_from_MS_Access_Database[[#All],[STP FLEX]],Table_Query_from_MS_Access_Database[[#All],[Transaction Year]],"2026",Table_Query_from_MS_Access_Database[[#All],[Transaction Type]],"loan Out")</f>
        <v>0</v>
      </c>
      <c r="X7" s="100">
        <f t="shared" si="0"/>
        <v>0</v>
      </c>
      <c r="Y7" s="119">
        <f>SUMIFS(Table_Query_from_MS_Access_Database_16[[#All],[Total]],Table_Query_from_MS_Access_Database_16[[#All],[Transaction Year]],"2026",Table_Query_from_MS_Access_Database_16[[#All],[Transaction Type]],"Loan Out")</f>
        <v>0</v>
      </c>
    </row>
    <row r="8" spans="1:25">
      <c r="J8" s="25"/>
      <c r="K8" s="25"/>
      <c r="L8" s="95" t="s">
        <v>68</v>
      </c>
      <c r="M8" s="98">
        <f>SUMIFS(Table_Query_from_MS_Access_Database[[#All],[HURF Exchange]],Table_Query_from_MS_Access_Database[[#All],[Transaction Year]],"2026",Table_Query_from_MS_Access_Database[[#All],[Transaction Type]],"repayment in")</f>
        <v>0</v>
      </c>
      <c r="N8" s="158">
        <f>SUMIFS(Table_Query_from_MS_Access_Database[[#All],[HSIP]],Table_Query_from_MS_Access_Database[[#All],[Transaction Year]],"2026",Table_Query_from_MS_Access_Database[[#All],[Transaction Type]],"repayment in")</f>
        <v>0</v>
      </c>
      <c r="O8" s="158">
        <f>SUMIFS(Table_Query_from_MS_Access_Database[[#All],[PLAN]],Table_Query_from_MS_Access_Database[[#All],[Transaction Year]],"2026",Table_Query_from_MS_Access_Database[[#All],[Transaction Type]],"repayment in")</f>
        <v>0</v>
      </c>
      <c r="P8" s="158">
        <f>SUMIFS(Table_Query_from_MS_Access_Database[[#All],[PLAN SATO]],Table_Query_from_MS_Access_Database[[#All],[Transaction Year]],"2026",Table_Query_from_MS_Access_Database[[#All],[Transaction Type]],"repayment in")</f>
        <v>0</v>
      </c>
      <c r="Q8" s="158">
        <f>SUMIFS(Table_Query_from_MS_Access_Database[[#All],[SPR]],Table_Query_from_MS_Access_Database[[#All],[Transaction Year]],"2026",Table_Query_from_MS_Access_Database[[#All],[Transaction Type]],"repayment in")</f>
        <v>0</v>
      </c>
      <c r="R8" s="158">
        <f>SUMIFS(Table_Query_from_MS_Access_Database[[#All],[STP &lt;5]],Table_Query_from_MS_Access_Database[[#All],[Transaction Year]],"2026",Table_Query_from_MS_Access_Database[[#All],[Transaction Type]],"repayment in")</f>
        <v>0</v>
      </c>
      <c r="S8" s="158">
        <f>SUMIFS(Table_Query_from_MS_Access_Database[[#All],[STP 5-2]],Table_Query_from_MS_Access_Database[[#All],[Transaction Year]],"2026",Table_Query_from_MS_Access_Database[[#All],[Transaction Type]],"repayment in")</f>
        <v>0</v>
      </c>
      <c r="T8" s="158">
        <f>SUMIFS(Table_Query_from_MS_Access_Database[[#All],[STP 5-50]],Table_Query_from_MS_Access_Database[[#All],[Transaction Year]],"2026",Table_Query_from_MS_Access_Database[[#All],[Transaction Type]],"repayment in")</f>
        <v>0</v>
      </c>
      <c r="U8" s="158">
        <f>SUMIFS(Table_Query_from_MS_Access_Database[[#All],[STP 50-200]],Table_Query_from_MS_Access_Database[[#All],[Transaction Year]],"2026",Table_Query_from_MS_Access_Database[[#All],[Transaction Type]],"repayment in")</f>
        <v>0</v>
      </c>
      <c r="V8" s="158">
        <f>SUMIFS(Table_Query_from_MS_Access_Database[[#All],[CRP 50-200]],Table_Query_from_MS_Access_Database[[#All],[Transaction Year]],"2026",Table_Query_from_MS_Access_Database[[#All],[Transaction Type]],"repayment in")</f>
        <v>181427.44</v>
      </c>
      <c r="W8" s="158">
        <f>SUMIFS(Table_Query_from_MS_Access_Database[[#All],[STP FLEX]],Table_Query_from_MS_Access_Database[[#All],[Transaction Year]],"2026",Table_Query_from_MS_Access_Database[[#All],[Transaction Type]],"repayment in")</f>
        <v>0</v>
      </c>
      <c r="X8" s="141">
        <f t="shared" si="0"/>
        <v>181427.44</v>
      </c>
      <c r="Y8" s="118">
        <f>SUMIFS(Table_Query_from_MS_Access_Database_16[[#All],[Total]],Table_Query_from_MS_Access_Database_16[[#All],[Transaction Year]],"2026",Table_Query_from_MS_Access_Database_16[[#All],[Transaction Type]],"repayment In")</f>
        <v>181427.44</v>
      </c>
    </row>
    <row r="9" spans="1:25" ht="16.5" customHeight="1">
      <c r="A9" s="196" t="s">
        <v>81</v>
      </c>
      <c r="B9" s="196"/>
      <c r="C9" s="196"/>
      <c r="D9" s="196"/>
      <c r="E9" s="196"/>
      <c r="F9" s="196"/>
      <c r="G9" s="196"/>
      <c r="H9" s="196"/>
      <c r="I9" s="196"/>
      <c r="J9" s="196"/>
      <c r="K9" s="27"/>
      <c r="L9" s="97" t="s">
        <v>69</v>
      </c>
      <c r="M9" s="99">
        <f>SUMIFS(Table_Query_from_MS_Access_Database[[#All],[HURF Exchange]],Table_Query_from_MS_Access_Database[[#All],[Transaction Year]],"2026",Table_Query_from_MS_Access_Database[[#All],[Transaction Type]],"repayment Out")</f>
        <v>0</v>
      </c>
      <c r="N9" s="142">
        <f>SUMIFS(Table_Query_from_MS_Access_Database[[#All],[HSIP]],Table_Query_from_MS_Access_Database[[#All],[Transaction Year]],"2026",Table_Query_from_MS_Access_Database[[#All],[Transaction Type]],"repayment Out")</f>
        <v>0</v>
      </c>
      <c r="O9" s="142">
        <f>SUMIFS(Table_Query_from_MS_Access_Database[[#All],[PLAN]],Table_Query_from_MS_Access_Database[[#All],[Transaction Year]],"2026",Table_Query_from_MS_Access_Database[[#All],[Transaction Type]],"repayment Out")</f>
        <v>0</v>
      </c>
      <c r="P9" s="142">
        <f>SUMIFS(Table_Query_from_MS_Access_Database[[#All],[PLAN SATO]],Table_Query_from_MS_Access_Database[[#All],[Transaction Year]],"2026",Table_Query_from_MS_Access_Database[[#All],[Transaction Type]],"repayment Out")</f>
        <v>0</v>
      </c>
      <c r="Q9" s="142">
        <f>SUMIFS(Table_Query_from_MS_Access_Database[[#All],[SPR]],Table_Query_from_MS_Access_Database[[#All],[Transaction Year]],"2026",Table_Query_from_MS_Access_Database[[#All],[Transaction Type]],"repayment Out")</f>
        <v>0</v>
      </c>
      <c r="R9" s="142">
        <f>SUMIFS(Table_Query_from_MS_Access_Database[[#All],[STP &lt;5]],Table_Query_from_MS_Access_Database[[#All],[Transaction Year]],"2026",Table_Query_from_MS_Access_Database[[#All],[Transaction Type]],"repayment Out")</f>
        <v>0</v>
      </c>
      <c r="S9" s="142">
        <f>SUMIFS(Table_Query_from_MS_Access_Database[[#All],[STP 5-2]],Table_Query_from_MS_Access_Database[[#All],[Transaction Year]],"2026",Table_Query_from_MS_Access_Database[[#All],[Transaction Type]],"repayment Out")</f>
        <v>0</v>
      </c>
      <c r="T9" s="142">
        <f>SUMIFS(Table_Query_from_MS_Access_Database[[#All],[STP 5-50]],Table_Query_from_MS_Access_Database[[#All],[Transaction Year]],"2026",Table_Query_from_MS_Access_Database[[#All],[Transaction Type]],"repayment Out")</f>
        <v>0</v>
      </c>
      <c r="U9" s="142">
        <f>SUMIFS(Table_Query_from_MS_Access_Database[[#All],[STP 50-200]],Table_Query_from_MS_Access_Database[[#All],[Transaction Year]],"2026",Table_Query_from_MS_Access_Database[[#All],[Transaction Type]],"repayment Out")</f>
        <v>0</v>
      </c>
      <c r="V9" s="142">
        <f>SUMIFS(Table_Query_from_MS_Access_Database[[#All],[CRP 50-200]],Table_Query_from_MS_Access_Database[[#All],[Transaction Year]],"2026",Table_Query_from_MS_Access_Database[[#All],[Transaction Type]],"repayment Out")</f>
        <v>0</v>
      </c>
      <c r="W9" s="142">
        <f>SUMIFS(Table_Query_from_MS_Access_Database[[#All],[STP FLEX]],Table_Query_from_MS_Access_Database[[#All],[Transaction Year]],"2026",Table_Query_from_MS_Access_Database[[#All],[Transaction Type]],"repayment Out")</f>
        <v>0</v>
      </c>
      <c r="X9" s="100">
        <f t="shared" si="0"/>
        <v>0</v>
      </c>
      <c r="Y9" s="119">
        <f>SUMIFS(Table_Query_from_MS_Access_Database_16[[#All],[Total]],Table_Query_from_MS_Access_Database_16[[#All],[Transaction Year]],"2026",Table_Query_from_MS_Access_Database_16[[#All],[Transaction Type]],"Repayment Out")</f>
        <v>0</v>
      </c>
    </row>
    <row r="10" spans="1:25">
      <c r="J10" s="25"/>
      <c r="K10" s="25"/>
      <c r="L10" s="95" t="s">
        <v>70</v>
      </c>
      <c r="M10" s="98">
        <f>SUMIFS(Table_Query_from_MS_Access_Database[[#All],[HURF Exchange]],Table_Query_from_MS_Access_Database[[#All],[Transaction Year]],"2026",Table_Query_from_MS_Access_Database[[#All],[Transaction Type]],"Transfer in")</f>
        <v>0</v>
      </c>
      <c r="N10" s="158">
        <f>SUMIFS(Table_Query_from_MS_Access_Database[[#All],[HSIP]],Table_Query_from_MS_Access_Database[[#All],[Transaction Year]],"2026",Table_Query_from_MS_Access_Database[[#All],[Transaction Type]],"Transfer in")</f>
        <v>0</v>
      </c>
      <c r="O10" s="158">
        <f>SUMIFS(Table_Query_from_MS_Access_Database[[#All],[PLAN]],Table_Query_from_MS_Access_Database[[#All],[Transaction Year]],"2026",Table_Query_from_MS_Access_Database[[#All],[Transaction Type]],"Transfer in")</f>
        <v>0</v>
      </c>
      <c r="P10" s="158">
        <f>SUMIFS(Table_Query_from_MS_Access_Database[[#All],[PLAN SATO]],Table_Query_from_MS_Access_Database[[#All],[Transaction Year]],"2026",Table_Query_from_MS_Access_Database[[#All],[Transaction Type]],"Transfer in")</f>
        <v>0</v>
      </c>
      <c r="Q10" s="158">
        <f>SUMIFS(Table_Query_from_MS_Access_Database[[#All],[SPR]],Table_Query_from_MS_Access_Database[[#All],[Transaction Year]],"2026",Table_Query_from_MS_Access_Database[[#All],[Transaction Type]],"Transfer in")</f>
        <v>0</v>
      </c>
      <c r="R10" s="158">
        <f>SUMIFS(Table_Query_from_MS_Access_Database[[#All],[STP &lt;5]],Table_Query_from_MS_Access_Database[[#All],[Transaction Year]],"2026",Table_Query_from_MS_Access_Database[[#All],[Transaction Type]],"Transfer in")</f>
        <v>0</v>
      </c>
      <c r="S10" s="158">
        <f>SUMIFS(Table_Query_from_MS_Access_Database[[#All],[STP 5-2]],Table_Query_from_MS_Access_Database[[#All],[Transaction Year]],"2026",Table_Query_from_MS_Access_Database[[#All],[Transaction Type]],"Transfer in")</f>
        <v>0</v>
      </c>
      <c r="T10" s="158">
        <f>SUMIFS(Table_Query_from_MS_Access_Database[[#All],[STP 5-50]],Table_Query_from_MS_Access_Database[[#All],[Transaction Year]],"2026",Table_Query_from_MS_Access_Database[[#All],[Transaction Type]],"Transfer in")</f>
        <v>0</v>
      </c>
      <c r="U10" s="158">
        <f>SUMIFS(Table_Query_from_MS_Access_Database[[#All],[STP 50-200]],Table_Query_from_MS_Access_Database[[#All],[Transaction Year]],"2026",Table_Query_from_MS_Access_Database[[#All],[Transaction Type]],"Transfer in")</f>
        <v>0</v>
      </c>
      <c r="V10" s="158">
        <f>SUMIFS(Table_Query_from_MS_Access_Database[[#All],[CRP 50-200]],Table_Query_from_MS_Access_Database[[#All],[Transaction Year]],"2026",Table_Query_from_MS_Access_Database[[#All],[Transaction Type]],"Transfer in")</f>
        <v>0</v>
      </c>
      <c r="W10" s="158">
        <f>SUMIFS(Table_Query_from_MS_Access_Database[[#All],[STP FLEX]],Table_Query_from_MS_Access_Database[[#All],[Transaction Year]],"2026",Table_Query_from_MS_Access_Database[[#All],[Transaction Type]],"Transfer in")</f>
        <v>0</v>
      </c>
      <c r="X10" s="141">
        <f t="shared" si="0"/>
        <v>0</v>
      </c>
      <c r="Y10" s="118">
        <f>SUMIFS(Table_Query_from_MS_Access_Database_16[[#All],[Total]],Table_Query_from_MS_Access_Database_16[[#All],[Transaction Year]],"2026",Table_Query_from_MS_Access_Database_16[[#All],[Transaction Type]],"Transfer In")</f>
        <v>0</v>
      </c>
    </row>
    <row r="11" spans="1:25">
      <c r="F11" s="32"/>
      <c r="G11" s="32"/>
      <c r="J11" s="25"/>
      <c r="K11" s="25"/>
      <c r="L11" s="97" t="s">
        <v>71</v>
      </c>
      <c r="M11" s="99">
        <f>SUMIFS(Table_Query_from_MS_Access_Database[[#All],[HURF Exchange]],Table_Query_from_MS_Access_Database[[#All],[Transaction Year]],"2026",Table_Query_from_MS_Access_Database[[#All],[Transaction Type]],"Transfer Out")</f>
        <v>0</v>
      </c>
      <c r="N11" s="142">
        <f>SUMIFS(Table_Query_from_MS_Access_Database[[#All],[HSIP]],Table_Query_from_MS_Access_Database[[#All],[Transaction Year]],"2026",Table_Query_from_MS_Access_Database[[#All],[Transaction Type]],"Transfer Out")</f>
        <v>0</v>
      </c>
      <c r="O11" s="142">
        <f>SUMIFS(Table_Query_from_MS_Access_Database[[#All],[PLAN]],Table_Query_from_MS_Access_Database[[#All],[Transaction Year]],"2026",Table_Query_from_MS_Access_Database[[#All],[Transaction Type]],"Transfer Out")</f>
        <v>0</v>
      </c>
      <c r="P11" s="142">
        <f>SUMIFS(Table_Query_from_MS_Access_Database[[#All],[PLAN SATO]],Table_Query_from_MS_Access_Database[[#All],[Transaction Year]],"2026",Table_Query_from_MS_Access_Database[[#All],[Transaction Type]],"Transfer Out")</f>
        <v>0</v>
      </c>
      <c r="Q11" s="142">
        <f>SUMIFS(Table_Query_from_MS_Access_Database[[#All],[SPR]],Table_Query_from_MS_Access_Database[[#All],[Transaction Year]],"2026",Table_Query_from_MS_Access_Database[[#All],[Transaction Type]],"Transfer Out")</f>
        <v>0</v>
      </c>
      <c r="R11" s="142">
        <f>SUMIFS(Table_Query_from_MS_Access_Database[[#All],[STP &lt;5]],Table_Query_from_MS_Access_Database[[#All],[Transaction Year]],"2026",Table_Query_from_MS_Access_Database[[#All],[Transaction Type]],"Transfer Out")</f>
        <v>0</v>
      </c>
      <c r="S11" s="142">
        <f>SUMIFS(Table_Query_from_MS_Access_Database[[#All],[STP 5-2]],Table_Query_from_MS_Access_Database[[#All],[Transaction Year]],"2026",Table_Query_from_MS_Access_Database[[#All],[Transaction Type]],"Transfer Out")</f>
        <v>0</v>
      </c>
      <c r="T11" s="142">
        <f>SUMIFS(Table_Query_from_MS_Access_Database[[#All],[STP 5-50]],Table_Query_from_MS_Access_Database[[#All],[Transaction Year]],"2026",Table_Query_from_MS_Access_Database[[#All],[Transaction Type]],"Transfer Out")</f>
        <v>0</v>
      </c>
      <c r="U11" s="142">
        <f>SUMIFS(Table_Query_from_MS_Access_Database[[#All],[STP 50-200]],Table_Query_from_MS_Access_Database[[#All],[Transaction Year]],"2026",Table_Query_from_MS_Access_Database[[#All],[Transaction Type]],"Transfer Out")</f>
        <v>0</v>
      </c>
      <c r="V11" s="142">
        <f>SUMIFS(Table_Query_from_MS_Access_Database[[#All],[CRP 50-200]],Table_Query_from_MS_Access_Database[[#All],[Transaction Year]],"2026",Table_Query_from_MS_Access_Database[[#All],[Transaction Type]],"Transfer Out")</f>
        <v>0</v>
      </c>
      <c r="W11" s="142">
        <f>SUMIFS(Table_Query_from_MS_Access_Database[[#All],[STP FLEX]],Table_Query_from_MS_Access_Database[[#All],[Transaction Year]],"2026",Table_Query_from_MS_Access_Database[[#All],[Transaction Type]],"Transfer Out")</f>
        <v>0</v>
      </c>
      <c r="X11" s="100">
        <f t="shared" si="0"/>
        <v>0</v>
      </c>
      <c r="Y11" s="119">
        <f>SUMIFS(Table_Query_from_MS_Access_Database_16[[#All],[Total]],Table_Query_from_MS_Access_Database_16[[#All],[Transaction Year]],"2026",Table_Query_from_MS_Access_Database_16[[#All],[Transaction Type]],"Transfer Out")</f>
        <v>0</v>
      </c>
    </row>
    <row r="12" spans="1:25" ht="35.4">
      <c r="J12" s="25"/>
      <c r="K12" s="25"/>
      <c r="L12" s="101" t="s">
        <v>101</v>
      </c>
      <c r="M12" s="143">
        <f>SUM(M4:M11)</f>
        <v>0</v>
      </c>
      <c r="N12" s="143">
        <f>SUM(N4:N11)</f>
        <v>0</v>
      </c>
      <c r="O12" s="143">
        <f>SUM(O4:O11)</f>
        <v>162938</v>
      </c>
      <c r="P12" s="143">
        <f t="shared" ref="P12:W12" si="1">SUM(P4:P11)</f>
        <v>4178</v>
      </c>
      <c r="Q12" s="143">
        <f t="shared" si="1"/>
        <v>125000</v>
      </c>
      <c r="R12" s="143">
        <f t="shared" si="1"/>
        <v>234833</v>
      </c>
      <c r="S12" s="143">
        <f t="shared" si="1"/>
        <v>0</v>
      </c>
      <c r="T12" s="143">
        <f t="shared" si="1"/>
        <v>159168</v>
      </c>
      <c r="U12" s="143">
        <f t="shared" si="1"/>
        <v>278583.09000000003</v>
      </c>
      <c r="V12" s="143">
        <f t="shared" si="1"/>
        <v>311017</v>
      </c>
      <c r="W12" s="143">
        <f t="shared" si="1"/>
        <v>0</v>
      </c>
      <c r="X12" s="143">
        <f t="shared" si="0"/>
        <v>1275717.0900000001</v>
      </c>
      <c r="Y12" s="120">
        <f>SUM(Y4:Y11)</f>
        <v>1205068.53</v>
      </c>
    </row>
    <row r="13" spans="1:25">
      <c r="J13" s="25"/>
      <c r="K13" s="25"/>
      <c r="L13" s="25"/>
      <c r="M13" s="25"/>
      <c r="N13" s="33"/>
      <c r="O13" s="34"/>
      <c r="P13" s="34"/>
      <c r="Q13" s="34"/>
      <c r="R13" s="34"/>
      <c r="S13" s="34"/>
      <c r="T13" s="30"/>
    </row>
    <row r="14" spans="1:25" ht="15.75" customHeight="1">
      <c r="A14" s="194" t="s">
        <v>59</v>
      </c>
      <c r="B14" s="194"/>
      <c r="C14" s="194"/>
      <c r="D14" s="194"/>
      <c r="I14" s="193" t="s">
        <v>60</v>
      </c>
      <c r="J14" s="193"/>
      <c r="K14" s="193"/>
      <c r="L14" s="193"/>
      <c r="M14" s="156"/>
      <c r="N14" s="35"/>
      <c r="R14" s="30"/>
      <c r="S14" s="30"/>
      <c r="T14" s="30"/>
    </row>
    <row r="15" spans="1:25" ht="40.5" customHeight="1">
      <c r="A15" s="75" t="s">
        <v>1</v>
      </c>
      <c r="B15" s="75" t="s">
        <v>0</v>
      </c>
      <c r="C15" s="75" t="s">
        <v>3</v>
      </c>
      <c r="D15" s="75" t="s">
        <v>79</v>
      </c>
      <c r="E15" s="75" t="s">
        <v>2</v>
      </c>
      <c r="F15" s="75" t="s">
        <v>46</v>
      </c>
      <c r="G15" s="75" t="s">
        <v>47</v>
      </c>
      <c r="H15" s="75" t="s">
        <v>48</v>
      </c>
      <c r="I15" s="75" t="s">
        <v>49</v>
      </c>
      <c r="J15" s="75" t="s">
        <v>50</v>
      </c>
      <c r="K15" s="75" t="s">
        <v>51</v>
      </c>
      <c r="L15" s="154" t="s">
        <v>52</v>
      </c>
      <c r="M15" s="154" t="s">
        <v>161</v>
      </c>
      <c r="N15" s="75" t="s">
        <v>4</v>
      </c>
      <c r="O15" s="75" t="s">
        <v>42</v>
      </c>
      <c r="P15" s="75" t="s">
        <v>230</v>
      </c>
      <c r="Q15" s="75" t="s">
        <v>5</v>
      </c>
      <c r="R15" s="75" t="s">
        <v>96</v>
      </c>
      <c r="S15" s="154" t="s">
        <v>158</v>
      </c>
      <c r="T15" s="154" t="s">
        <v>223</v>
      </c>
      <c r="U15" s="154" t="s">
        <v>224</v>
      </c>
      <c r="V15" s="154" t="s">
        <v>225</v>
      </c>
      <c r="W15" s="129" t="s">
        <v>6</v>
      </c>
      <c r="X15" s="134" t="s">
        <v>231</v>
      </c>
      <c r="Y15" s="129" t="s">
        <v>232</v>
      </c>
    </row>
    <row r="16" spans="1:25" s="36" customFormat="1" ht="27" customHeight="1">
      <c r="A16" s="168" t="s">
        <v>269</v>
      </c>
      <c r="B16" s="36" t="s">
        <v>246</v>
      </c>
      <c r="C16" s="36" t="s">
        <v>112</v>
      </c>
      <c r="D16" s="36" t="s">
        <v>23</v>
      </c>
      <c r="E16" s="123" t="s">
        <v>270</v>
      </c>
      <c r="F16" s="123" t="s">
        <v>149</v>
      </c>
      <c r="G16" s="123" t="s">
        <v>98</v>
      </c>
      <c r="H16" s="123" t="s">
        <v>268</v>
      </c>
      <c r="I16" s="140">
        <v>45931</v>
      </c>
      <c r="J16" s="83">
        <v>45931</v>
      </c>
      <c r="K16" s="83">
        <v>45931</v>
      </c>
      <c r="L16" s="83">
        <v>45931</v>
      </c>
      <c r="M16" s="83"/>
      <c r="N16" s="86"/>
      <c r="O16" s="163">
        <v>118988.07</v>
      </c>
      <c r="P16" s="163"/>
      <c r="Q16" s="163"/>
      <c r="R16" s="86"/>
      <c r="S16" s="86"/>
      <c r="T16" s="58"/>
      <c r="U16" s="58"/>
      <c r="V16" s="58"/>
      <c r="W16" s="58"/>
      <c r="X16" s="149">
        <f>SUM(Table_Query_from_MS_Access_Database8[[#This Row],[HURF EX]:[STP other]])</f>
        <v>118988.07</v>
      </c>
      <c r="Y16" s="149">
        <f ca="1">IF(ISTEXT(INDIRECT(ADDRESS(ROW()-1,COLUMN()))), INDIRECT(ADDRESS(12,COLUMN())),INDIRECT(ADDRESS(ROW()-1,COLUMN())))-Table_Query_from_MS_Access_Database8[[#This Row],[TOTAL OF AMOUNT]]</f>
        <v>1086080.46</v>
      </c>
    </row>
    <row r="17" spans="1:25" s="36" customFormat="1" ht="13.5" customHeight="1">
      <c r="A17" s="181" t="s">
        <v>266</v>
      </c>
      <c r="B17" s="182" t="s">
        <v>246</v>
      </c>
      <c r="C17" s="182" t="s">
        <v>112</v>
      </c>
      <c r="D17" s="182" t="s">
        <v>23</v>
      </c>
      <c r="E17" s="123" t="s">
        <v>267</v>
      </c>
      <c r="F17" s="123" t="s">
        <v>149</v>
      </c>
      <c r="G17" s="123" t="s">
        <v>97</v>
      </c>
      <c r="H17" s="123" t="s">
        <v>268</v>
      </c>
      <c r="I17" s="140">
        <v>45931</v>
      </c>
      <c r="J17" s="83">
        <v>45931</v>
      </c>
      <c r="K17" s="83">
        <v>45931</v>
      </c>
      <c r="L17" s="83">
        <v>45931</v>
      </c>
      <c r="M17" s="83"/>
      <c r="N17" s="86"/>
      <c r="O17" s="163"/>
      <c r="P17" s="163"/>
      <c r="Q17" s="163">
        <v>79019.210000000006</v>
      </c>
      <c r="R17" s="86"/>
      <c r="S17" s="86"/>
      <c r="T17" s="58"/>
      <c r="U17" s="58"/>
      <c r="V17" s="58"/>
      <c r="W17" s="58"/>
      <c r="X17" s="176">
        <f>SUM(Table_Query_from_MS_Access_Database8[[#This Row],[HURF EX]:[STP other]])</f>
        <v>79019.210000000006</v>
      </c>
      <c r="Y17" s="176">
        <f ca="1">IF(ISTEXT(INDIRECT(ADDRESS(ROW()-1,COLUMN()))), INDIRECT(ADDRESS(12,COLUMN())),INDIRECT(ADDRESS(ROW()-1,COLUMN())))-Table_Query_from_MS_Access_Database8[[#This Row],[TOTAL OF AMOUNT]]</f>
        <v>1007061.25</v>
      </c>
    </row>
    <row r="18" spans="1:25" s="36" customFormat="1" ht="13.5" customHeight="1">
      <c r="A18" s="168" t="s">
        <v>266</v>
      </c>
      <c r="B18" s="36" t="s">
        <v>246</v>
      </c>
      <c r="C18" s="36" t="s">
        <v>112</v>
      </c>
      <c r="D18" s="36" t="s">
        <v>8</v>
      </c>
      <c r="E18" s="123" t="s">
        <v>267</v>
      </c>
      <c r="F18" s="123" t="s">
        <v>149</v>
      </c>
      <c r="G18" s="123" t="s">
        <v>97</v>
      </c>
      <c r="H18" s="123" t="s">
        <v>268</v>
      </c>
      <c r="I18" s="140"/>
      <c r="J18" s="83">
        <v>45945</v>
      </c>
      <c r="K18" s="83">
        <v>45958</v>
      </c>
      <c r="L18" s="83">
        <v>45959</v>
      </c>
      <c r="M18" s="83"/>
      <c r="N18" s="86"/>
      <c r="O18" s="163"/>
      <c r="P18" s="163"/>
      <c r="Q18" s="163">
        <v>77813.41</v>
      </c>
      <c r="R18" s="86"/>
      <c r="S18" s="86"/>
      <c r="T18" s="58"/>
      <c r="U18" s="58"/>
      <c r="V18" s="58"/>
      <c r="W18" s="58"/>
      <c r="X18" s="176">
        <f>SUM(Table_Query_from_MS_Access_Database8[[#This Row],[HURF EX]:[STP other]])</f>
        <v>77813.41</v>
      </c>
      <c r="Y18" s="176">
        <f ca="1">IF(ISTEXT(INDIRECT(ADDRESS(ROW()-1,COLUMN()))), INDIRECT(ADDRESS(12,COLUMN())),INDIRECT(ADDRESS(ROW()-1,COLUMN())))-Table_Query_from_MS_Access_Database8[[#This Row],[TOTAL OF AMOUNT]]</f>
        <v>929247.84</v>
      </c>
    </row>
    <row r="19" spans="1:25" s="36" customFormat="1" ht="13.5" customHeight="1">
      <c r="A19" s="168" t="s">
        <v>302</v>
      </c>
      <c r="B19" s="36" t="s">
        <v>246</v>
      </c>
      <c r="C19" s="36" t="s">
        <v>112</v>
      </c>
      <c r="D19" s="36" t="s">
        <v>23</v>
      </c>
      <c r="E19" s="123" t="s">
        <v>303</v>
      </c>
      <c r="F19" s="123" t="s">
        <v>149</v>
      </c>
      <c r="G19" s="123" t="s">
        <v>97</v>
      </c>
      <c r="H19" s="123" t="s">
        <v>304</v>
      </c>
      <c r="I19" s="140"/>
      <c r="J19" s="83">
        <v>45945</v>
      </c>
      <c r="K19" s="83">
        <v>45957</v>
      </c>
      <c r="L19" s="83">
        <v>45959</v>
      </c>
      <c r="M19" s="83"/>
      <c r="N19" s="86"/>
      <c r="O19" s="163"/>
      <c r="P19" s="163"/>
      <c r="Q19" s="163">
        <v>-77813.41</v>
      </c>
      <c r="R19" s="86"/>
      <c r="S19" s="86"/>
      <c r="T19" s="58"/>
      <c r="U19" s="58"/>
      <c r="V19" s="58"/>
      <c r="W19" s="58"/>
      <c r="X19" s="176">
        <f>SUM(Table_Query_from_MS_Access_Database8[[#This Row],[HURF EX]:[STP other]])</f>
        <v>-77813.41</v>
      </c>
      <c r="Y19" s="176">
        <f ca="1">IF(ISTEXT(INDIRECT(ADDRESS(ROW()-1,COLUMN()))), INDIRECT(ADDRESS(12,COLUMN())),INDIRECT(ADDRESS(ROW()-1,COLUMN())))-Table_Query_from_MS_Access_Database8[[#This Row],[TOTAL OF AMOUNT]]</f>
        <v>1007061.25</v>
      </c>
    </row>
    <row r="20" spans="1:25" s="36" customFormat="1" ht="13.5" customHeight="1">
      <c r="A20" s="168" t="s">
        <v>278</v>
      </c>
      <c r="B20" s="36" t="s">
        <v>246</v>
      </c>
      <c r="C20" s="36" t="s">
        <v>112</v>
      </c>
      <c r="D20" s="36" t="s">
        <v>22</v>
      </c>
      <c r="E20" s="123" t="s">
        <v>279</v>
      </c>
      <c r="F20" s="123" t="s">
        <v>149</v>
      </c>
      <c r="G20" s="123" t="s">
        <v>271</v>
      </c>
      <c r="H20" s="123" t="s">
        <v>280</v>
      </c>
      <c r="I20" s="140">
        <v>45931</v>
      </c>
      <c r="J20" s="83">
        <v>45995</v>
      </c>
      <c r="K20" s="83">
        <v>46000</v>
      </c>
      <c r="L20" s="83">
        <v>46001</v>
      </c>
      <c r="M20" s="83"/>
      <c r="N20" s="86"/>
      <c r="O20" s="163"/>
      <c r="P20" s="163"/>
      <c r="Q20" s="163"/>
      <c r="R20" s="86"/>
      <c r="S20" s="86"/>
      <c r="T20" s="58"/>
      <c r="U20" s="58">
        <v>305261.38</v>
      </c>
      <c r="V20" s="58"/>
      <c r="W20" s="58"/>
      <c r="X20" s="176">
        <f>SUM(Table_Query_from_MS_Access_Database8[[#This Row],[HURF EX]:[STP other]])</f>
        <v>305261.38</v>
      </c>
      <c r="Y20" s="176">
        <f ca="1">IF(ISTEXT(INDIRECT(ADDRESS(ROW()-1,COLUMN()))), INDIRECT(ADDRESS(12,COLUMN())),INDIRECT(ADDRESS(ROW()-1,COLUMN())))-Table_Query_from_MS_Access_Database8[[#This Row],[TOTAL OF AMOUNT]]</f>
        <v>701799.87</v>
      </c>
    </row>
    <row r="21" spans="1:25" s="36" customFormat="1" ht="13.2" customHeight="1">
      <c r="A21" s="168" t="s">
        <v>285</v>
      </c>
      <c r="B21" s="36" t="s">
        <v>246</v>
      </c>
      <c r="C21" s="36" t="s">
        <v>112</v>
      </c>
      <c r="D21" s="36" t="s">
        <v>22</v>
      </c>
      <c r="E21" s="123" t="s">
        <v>286</v>
      </c>
      <c r="F21" s="123" t="s">
        <v>149</v>
      </c>
      <c r="G21" s="123" t="s">
        <v>271</v>
      </c>
      <c r="H21" s="123" t="s">
        <v>268</v>
      </c>
      <c r="I21" s="140">
        <v>45931</v>
      </c>
      <c r="J21" s="83">
        <v>45995</v>
      </c>
      <c r="K21" s="83">
        <v>46003</v>
      </c>
      <c r="L21" s="83">
        <v>46007</v>
      </c>
      <c r="M21" s="83"/>
      <c r="N21" s="86"/>
      <c r="O21" s="163"/>
      <c r="P21" s="163"/>
      <c r="Q21" s="163"/>
      <c r="R21" s="86"/>
      <c r="S21" s="86"/>
      <c r="T21" s="58"/>
      <c r="U21" s="58">
        <v>351050.62</v>
      </c>
      <c r="V21" s="58"/>
      <c r="W21" s="58"/>
      <c r="X21" s="176">
        <f>SUM(Table_Query_from_MS_Access_Database8[[#This Row],[HURF EX]:[STP other]])</f>
        <v>351050.62</v>
      </c>
      <c r="Y21" s="176">
        <f ca="1">IF(ISTEXT(INDIRECT(ADDRESS(ROW()-1,COLUMN()))), INDIRECT(ADDRESS(12,COLUMN())),INDIRECT(ADDRESS(ROW()-1,COLUMN())))-Table_Query_from_MS_Access_Database8[[#This Row],[TOTAL OF AMOUNT]]</f>
        <v>350749.25</v>
      </c>
    </row>
    <row r="22" spans="1:25" s="36" customFormat="1" ht="13.2" hidden="1" customHeight="1">
      <c r="A22" s="168"/>
      <c r="E22" s="123"/>
      <c r="F22" s="123"/>
      <c r="G22" s="123"/>
      <c r="H22" s="123"/>
      <c r="I22" s="140"/>
      <c r="J22" s="83"/>
      <c r="K22" s="83"/>
      <c r="L22" s="83"/>
      <c r="M22" s="83"/>
      <c r="N22" s="86"/>
      <c r="O22" s="163"/>
      <c r="P22" s="163"/>
      <c r="Q22" s="163"/>
      <c r="R22" s="86"/>
      <c r="S22" s="86"/>
      <c r="T22" s="58"/>
      <c r="U22" s="58"/>
      <c r="V22" s="58"/>
      <c r="W22" s="174"/>
      <c r="X22" s="176"/>
      <c r="Y22" s="176"/>
    </row>
    <row r="23" spans="1:25" s="36" customFormat="1" ht="13.2" hidden="1" customHeight="1">
      <c r="A23" s="168"/>
      <c r="E23" s="123"/>
      <c r="F23" s="123"/>
      <c r="G23" s="123"/>
      <c r="H23" s="123"/>
      <c r="I23" s="140"/>
      <c r="J23" s="83"/>
      <c r="K23" s="83"/>
      <c r="L23" s="83"/>
      <c r="M23" s="83"/>
      <c r="N23" s="86"/>
      <c r="O23" s="163"/>
      <c r="P23" s="163"/>
      <c r="Q23" s="163"/>
      <c r="R23" s="86"/>
      <c r="S23" s="86"/>
      <c r="T23" s="58"/>
      <c r="U23" s="58"/>
      <c r="V23" s="58"/>
      <c r="W23" s="174"/>
      <c r="X23" s="176"/>
      <c r="Y23" s="176"/>
    </row>
    <row r="24" spans="1:25" s="36" customFormat="1" ht="13.2" hidden="1" customHeight="1">
      <c r="A24" s="168"/>
      <c r="E24" s="123"/>
      <c r="F24" s="123"/>
      <c r="G24" s="123"/>
      <c r="H24" s="123"/>
      <c r="I24" s="140"/>
      <c r="J24" s="83"/>
      <c r="K24" s="83"/>
      <c r="L24" s="83"/>
      <c r="M24" s="83"/>
      <c r="N24" s="86"/>
      <c r="O24" s="163"/>
      <c r="P24" s="163"/>
      <c r="Q24" s="163"/>
      <c r="R24" s="86"/>
      <c r="S24" s="86"/>
      <c r="T24" s="58"/>
      <c r="U24" s="58"/>
      <c r="V24" s="58"/>
      <c r="W24" s="174"/>
      <c r="X24" s="149"/>
      <c r="Y24" s="176"/>
    </row>
    <row r="25" spans="1:25" s="36" customFormat="1" ht="13.2" hidden="1" customHeight="1">
      <c r="A25" s="168"/>
      <c r="E25" s="123"/>
      <c r="F25" s="123"/>
      <c r="G25" s="123"/>
      <c r="H25" s="123"/>
      <c r="I25" s="140"/>
      <c r="J25" s="83"/>
      <c r="K25" s="83"/>
      <c r="L25" s="83"/>
      <c r="M25" s="83"/>
      <c r="N25" s="86"/>
      <c r="O25" s="163"/>
      <c r="P25" s="163"/>
      <c r="Q25" s="163"/>
      <c r="R25" s="86"/>
      <c r="S25" s="86"/>
      <c r="T25" s="58"/>
      <c r="U25" s="58"/>
      <c r="V25" s="58"/>
      <c r="W25" s="174"/>
      <c r="X25" s="149"/>
      <c r="Y25" s="176"/>
    </row>
    <row r="26" spans="1:25" s="36" customFormat="1" ht="13.2" hidden="1" customHeight="1">
      <c r="A26" s="168"/>
      <c r="E26" s="123"/>
      <c r="F26" s="123"/>
      <c r="G26" s="123"/>
      <c r="H26" s="123"/>
      <c r="I26" s="140"/>
      <c r="J26" s="83"/>
      <c r="K26" s="83"/>
      <c r="L26" s="83"/>
      <c r="M26" s="83"/>
      <c r="N26" s="86"/>
      <c r="O26" s="163"/>
      <c r="P26" s="163"/>
      <c r="Q26" s="163"/>
      <c r="R26" s="86"/>
      <c r="S26" s="86"/>
      <c r="T26" s="58"/>
      <c r="U26" s="58"/>
      <c r="V26" s="58"/>
      <c r="W26" s="174"/>
      <c r="X26" s="149"/>
      <c r="Y26" s="176"/>
    </row>
    <row r="27" spans="1:25" s="36" customFormat="1" ht="13.2" hidden="1" customHeight="1">
      <c r="A27" s="168"/>
      <c r="E27" s="123"/>
      <c r="F27" s="123"/>
      <c r="G27" s="123"/>
      <c r="H27" s="123"/>
      <c r="I27" s="140"/>
      <c r="J27" s="83"/>
      <c r="K27" s="83"/>
      <c r="L27" s="83"/>
      <c r="M27" s="83"/>
      <c r="N27" s="86"/>
      <c r="O27" s="163"/>
      <c r="P27" s="163"/>
      <c r="Q27" s="163"/>
      <c r="R27" s="86"/>
      <c r="S27" s="86"/>
      <c r="T27" s="58"/>
      <c r="U27" s="58"/>
      <c r="V27" s="58"/>
      <c r="W27" s="174"/>
      <c r="X27" s="149"/>
      <c r="Y27" s="176"/>
    </row>
    <row r="28" spans="1:25" s="54" customFormat="1" ht="15.6">
      <c r="A28" s="147"/>
      <c r="B28" s="147"/>
      <c r="C28" s="147"/>
      <c r="D28" s="147"/>
      <c r="E28" s="136"/>
      <c r="F28" s="136"/>
      <c r="G28" s="137"/>
      <c r="H28" s="137"/>
      <c r="I28" s="137"/>
      <c r="J28" s="139"/>
      <c r="K28" s="138"/>
      <c r="L28" s="157" t="s">
        <v>234</v>
      </c>
      <c r="M28" s="150">
        <f>SUM(Table_Query_from_MS_Access_Database8[[#All],[HURF EX]])</f>
        <v>0</v>
      </c>
      <c r="N28" s="150">
        <f>SUM(Table_Query_from_MS_Access_Database8[[#All],[HSIP]])</f>
        <v>0</v>
      </c>
      <c r="O28" s="150">
        <f>SUM(Table_Query_from_MS_Access_Database8[[#All],[PL]])</f>
        <v>118988.07</v>
      </c>
      <c r="P28" s="150">
        <f>SUM(Table_Query_from_MS_Access_Database8[[#All],[PL-SATO]])</f>
        <v>0</v>
      </c>
      <c r="Q28" s="150">
        <f>SUM(Table_Query_from_MS_Access_Database8[[#All],[SPR]])</f>
        <v>79019.209999999992</v>
      </c>
      <c r="R28" s="150">
        <f>SUM(Table_Query_from_MS_Access_Database8[[#All],[STP &lt;5]])</f>
        <v>0</v>
      </c>
      <c r="S28" s="150">
        <f>SUM(Table_Query_from_MS_Access_Database8[[#All],[STP 5-200]])</f>
        <v>0</v>
      </c>
      <c r="T28" s="150">
        <f>SUM(Table_Query_from_MS_Access_Database8[[#All],[STP 5-50]])</f>
        <v>0</v>
      </c>
      <c r="U28" s="150">
        <f>SUM(Table_Query_from_MS_Access_Database8[[#All],[STP 50-200]])</f>
        <v>656312</v>
      </c>
      <c r="V28" s="150">
        <f>SUM(Table_Query_from_MS_Access_Database8[[#All],[CRP 50-200]])</f>
        <v>0</v>
      </c>
      <c r="W28" s="150">
        <f>SUM(Table_Query_from_MS_Access_Database8[[#All],[STP other]])</f>
        <v>0</v>
      </c>
      <c r="X28" s="150">
        <f>SUM(Table_Query_from_MS_Access_Database8[[#All],[TOTAL OF AMOUNT]])</f>
        <v>854319.28</v>
      </c>
    </row>
    <row r="29" spans="1:25" s="54" customFormat="1" ht="24">
      <c r="A29" s="147"/>
      <c r="B29" s="147"/>
      <c r="C29" s="147"/>
      <c r="D29" s="147"/>
      <c r="E29" s="136"/>
      <c r="F29" s="136"/>
      <c r="G29" s="137"/>
      <c r="H29" s="137"/>
      <c r="I29" s="137"/>
      <c r="J29" s="139"/>
      <c r="K29" s="138"/>
      <c r="L29" s="157" t="s">
        <v>72</v>
      </c>
      <c r="M29" s="148">
        <f t="shared" ref="M29:X29" si="2">+M12-M28</f>
        <v>0</v>
      </c>
      <c r="N29" s="148">
        <f t="shared" si="2"/>
        <v>0</v>
      </c>
      <c r="O29" s="148">
        <f t="shared" si="2"/>
        <v>43949.929999999993</v>
      </c>
      <c r="P29" s="148">
        <f t="shared" si="2"/>
        <v>4178</v>
      </c>
      <c r="Q29" s="148">
        <f t="shared" si="2"/>
        <v>45980.790000000008</v>
      </c>
      <c r="R29" s="148">
        <f t="shared" si="2"/>
        <v>234833</v>
      </c>
      <c r="S29" s="148">
        <f t="shared" si="2"/>
        <v>0</v>
      </c>
      <c r="T29" s="148">
        <f t="shared" si="2"/>
        <v>159168</v>
      </c>
      <c r="U29" s="148">
        <f t="shared" si="2"/>
        <v>-377728.91</v>
      </c>
      <c r="V29" s="148">
        <f t="shared" si="2"/>
        <v>311017</v>
      </c>
      <c r="W29" s="148">
        <f t="shared" si="2"/>
        <v>0</v>
      </c>
      <c r="X29" s="148">
        <f t="shared" si="2"/>
        <v>421397.81000000006</v>
      </c>
    </row>
    <row r="30" spans="1:25" s="54" customFormat="1" ht="15.6">
      <c r="A30" s="147"/>
      <c r="B30" s="147"/>
      <c r="C30" s="147"/>
      <c r="D30" s="147"/>
      <c r="E30" s="136"/>
      <c r="F30" s="136"/>
      <c r="G30" s="137"/>
      <c r="H30" s="137"/>
      <c r="I30" s="137"/>
      <c r="J30" s="139"/>
      <c r="K30" s="138"/>
      <c r="L30" s="138"/>
      <c r="M30" s="138"/>
      <c r="N30" s="138"/>
      <c r="O30" s="30"/>
      <c r="P30" s="30"/>
      <c r="Q30" s="135"/>
      <c r="R30" s="135"/>
      <c r="S30" s="30"/>
      <c r="T30" s="36"/>
      <c r="U30" s="36"/>
    </row>
    <row r="31" spans="1:25" s="54" customFormat="1" ht="15.6">
      <c r="A31" s="194" t="s">
        <v>34</v>
      </c>
      <c r="B31" s="194"/>
      <c r="C31" s="194"/>
      <c r="D31" s="194"/>
      <c r="E31" s="136"/>
      <c r="F31" s="136"/>
      <c r="G31" s="137"/>
      <c r="H31" s="137"/>
      <c r="I31" s="137"/>
      <c r="J31" s="139"/>
      <c r="K31" s="138"/>
      <c r="L31" s="138"/>
      <c r="M31" s="138"/>
      <c r="N31" s="138"/>
      <c r="O31" s="30"/>
      <c r="P31" s="30"/>
      <c r="Q31" s="135"/>
      <c r="R31" s="135"/>
      <c r="S31" s="30"/>
      <c r="T31" s="36"/>
      <c r="U31" s="36"/>
    </row>
    <row r="32" spans="1:25" s="54" customFormat="1" ht="38.25" customHeight="1">
      <c r="A32" s="154" t="s">
        <v>1</v>
      </c>
      <c r="B32" s="154" t="s">
        <v>0</v>
      </c>
      <c r="C32" s="154" t="s">
        <v>3</v>
      </c>
      <c r="D32" s="154" t="s">
        <v>79</v>
      </c>
      <c r="E32" s="154" t="s">
        <v>2</v>
      </c>
      <c r="F32" s="154" t="s">
        <v>46</v>
      </c>
      <c r="G32" s="154" t="s">
        <v>47</v>
      </c>
      <c r="H32" s="154" t="s">
        <v>48</v>
      </c>
      <c r="I32" s="154" t="s">
        <v>49</v>
      </c>
      <c r="J32" s="154" t="s">
        <v>50</v>
      </c>
      <c r="K32" s="154" t="s">
        <v>51</v>
      </c>
      <c r="L32" s="154" t="s">
        <v>52</v>
      </c>
      <c r="M32" s="154" t="s">
        <v>161</v>
      </c>
      <c r="N32" s="154" t="s">
        <v>4</v>
      </c>
      <c r="O32" s="154" t="s">
        <v>42</v>
      </c>
      <c r="P32" s="154" t="s">
        <v>230</v>
      </c>
      <c r="Q32" s="154" t="s">
        <v>5</v>
      </c>
      <c r="R32" s="154" t="s">
        <v>96</v>
      </c>
      <c r="S32" s="154" t="s">
        <v>158</v>
      </c>
      <c r="T32" s="154" t="s">
        <v>223</v>
      </c>
      <c r="U32" s="154" t="s">
        <v>224</v>
      </c>
      <c r="V32" s="154" t="s">
        <v>225</v>
      </c>
      <c r="W32" s="128" t="s">
        <v>53</v>
      </c>
      <c r="X32" s="134" t="s">
        <v>231</v>
      </c>
      <c r="Y32" s="154" t="s">
        <v>232</v>
      </c>
    </row>
    <row r="33" spans="1:25" s="36" customFormat="1" ht="27" customHeight="1">
      <c r="A33" s="36" t="s">
        <v>282</v>
      </c>
      <c r="B33" s="36" t="s">
        <v>283</v>
      </c>
      <c r="C33" s="36" t="s">
        <v>88</v>
      </c>
      <c r="D33" s="36" t="s">
        <v>7</v>
      </c>
      <c r="E33" s="123" t="s">
        <v>284</v>
      </c>
      <c r="F33" s="76" t="s">
        <v>251</v>
      </c>
      <c r="G33" s="77" t="s">
        <v>243</v>
      </c>
      <c r="H33" s="77" t="s">
        <v>243</v>
      </c>
      <c r="I33" s="153">
        <v>46023</v>
      </c>
      <c r="J33" s="140"/>
      <c r="K33" s="140"/>
      <c r="L33" s="140"/>
      <c r="M33" s="140"/>
      <c r="N33" s="86"/>
      <c r="O33" s="86"/>
      <c r="P33" s="86"/>
      <c r="Q33" s="86"/>
      <c r="R33" s="86"/>
      <c r="S33" s="58"/>
      <c r="T33" s="58"/>
      <c r="U33" s="58"/>
      <c r="V33" s="58">
        <v>281927</v>
      </c>
      <c r="W33" s="127"/>
      <c r="X33" s="37">
        <f>SUM(Table_Query_from_MS_Access_Database_1[[#This Row],[HURF EX]:[STP OTHER]])</f>
        <v>281927</v>
      </c>
      <c r="Y33" s="37">
        <f ca="1">IF(ISTEXT(INDIRECT(ADDRESS(ROW()-1,COLUMN()))), INDIRECT(ADDRESS(12,COLUMN()))-SUM(Table_Query_from_MS_Access_Database8[TOTAL OF AMOUNT]),INDIRECT(ADDRESS(ROW()-1,COLUMN())))-Table_Query_from_MS_Access_Database_1[[#This Row],[TOTAL OF AMOUNT]]</f>
        <v>68822.25</v>
      </c>
    </row>
    <row r="34" spans="1:25" s="36" customFormat="1" ht="13.5" customHeight="1">
      <c r="A34" s="37" t="s">
        <v>266</v>
      </c>
      <c r="B34" s="37" t="s">
        <v>246</v>
      </c>
      <c r="C34" s="37" t="s">
        <v>112</v>
      </c>
      <c r="D34" s="37" t="s">
        <v>22</v>
      </c>
      <c r="E34" s="123" t="s">
        <v>267</v>
      </c>
      <c r="F34" s="165" t="s">
        <v>149</v>
      </c>
      <c r="G34" s="77" t="s">
        <v>97</v>
      </c>
      <c r="H34" s="77" t="s">
        <v>268</v>
      </c>
      <c r="I34" s="153">
        <v>46174</v>
      </c>
      <c r="J34" s="140"/>
      <c r="K34" s="140"/>
      <c r="L34" s="140"/>
      <c r="M34" s="173"/>
      <c r="N34" s="86"/>
      <c r="O34" s="86"/>
      <c r="P34" s="86"/>
      <c r="Q34" s="86">
        <v>27567.3</v>
      </c>
      <c r="R34" s="86"/>
      <c r="S34" s="58"/>
      <c r="T34" s="58"/>
      <c r="U34" s="58"/>
      <c r="V34" s="58"/>
      <c r="W34" s="37"/>
      <c r="X34" s="37">
        <f>SUM(Table_Query_from_MS_Access_Database_1[[#This Row],[HURF EX]:[STP OTHER]])</f>
        <v>27567.3</v>
      </c>
      <c r="Y34" s="37">
        <f ca="1">IF(ISTEXT(INDIRECT(ADDRESS(ROW()-1,COLUMN()))), INDIRECT(ADDRESS(12,COLUMN()))-SUM(Table_Query_from_MS_Access_Database8[TOTAL OF AMOUNT]),INDIRECT(ADDRESS(ROW()-1,COLUMN())))-Table_Query_from_MS_Access_Database_1[[#This Row],[TOTAL OF AMOUNT]]</f>
        <v>41254.949999999997</v>
      </c>
    </row>
    <row r="35" spans="1:25" s="36" customFormat="1" ht="13.5" customHeight="1">
      <c r="A35" s="37" t="s">
        <v>269</v>
      </c>
      <c r="B35" s="37" t="s">
        <v>246</v>
      </c>
      <c r="C35" s="37" t="s">
        <v>112</v>
      </c>
      <c r="D35" s="37" t="s">
        <v>22</v>
      </c>
      <c r="E35" s="123" t="s">
        <v>270</v>
      </c>
      <c r="F35" s="165" t="s">
        <v>149</v>
      </c>
      <c r="G35" s="77" t="s">
        <v>98</v>
      </c>
      <c r="H35" s="77" t="s">
        <v>268</v>
      </c>
      <c r="I35" s="153">
        <v>46174</v>
      </c>
      <c r="J35" s="140"/>
      <c r="K35" s="140"/>
      <c r="L35" s="140"/>
      <c r="M35" s="173"/>
      <c r="N35" s="86"/>
      <c r="O35" s="86">
        <v>40754.949999999997</v>
      </c>
      <c r="P35" s="86"/>
      <c r="Q35" s="86"/>
      <c r="R35" s="86"/>
      <c r="S35" s="58"/>
      <c r="T35" s="58"/>
      <c r="U35" s="58"/>
      <c r="V35" s="58"/>
      <c r="W35" s="37"/>
      <c r="X35" s="37">
        <f>SUM(Table_Query_from_MS_Access_Database_1[[#This Row],[HURF EX]:[STP OTHER]])</f>
        <v>40754.949999999997</v>
      </c>
      <c r="Y35" s="37">
        <f ca="1">IF(ISTEXT(INDIRECT(ADDRESS(ROW()-1,COLUMN()))), INDIRECT(ADDRESS(12,COLUMN()))-SUM(Table_Query_from_MS_Access_Database8[TOTAL OF AMOUNT]),INDIRECT(ADDRESS(ROW()-1,COLUMN())))-Table_Query_from_MS_Access_Database_1[[#This Row],[TOTAL OF AMOUNT]]</f>
        <v>500</v>
      </c>
    </row>
    <row r="36" spans="1:25" s="54" customFormat="1" ht="13.5" customHeight="1">
      <c r="A36" s="37" t="s">
        <v>287</v>
      </c>
      <c r="B36" s="37" t="s">
        <v>288</v>
      </c>
      <c r="C36" s="37" t="s">
        <v>289</v>
      </c>
      <c r="D36" s="37" t="s">
        <v>7</v>
      </c>
      <c r="E36" s="123" t="s">
        <v>290</v>
      </c>
      <c r="F36" s="165" t="s">
        <v>251</v>
      </c>
      <c r="G36" s="77" t="s">
        <v>277</v>
      </c>
      <c r="H36" s="77" t="s">
        <v>243</v>
      </c>
      <c r="I36" s="153">
        <v>46174</v>
      </c>
      <c r="J36" s="140"/>
      <c r="K36" s="140"/>
      <c r="L36" s="140"/>
      <c r="M36" s="173"/>
      <c r="N36" s="86"/>
      <c r="O36" s="86"/>
      <c r="P36" s="86"/>
      <c r="Q36" s="86"/>
      <c r="R36" s="86"/>
      <c r="S36" s="58"/>
      <c r="T36" s="58"/>
      <c r="U36" s="58">
        <v>500</v>
      </c>
      <c r="V36" s="58"/>
      <c r="W36" s="37"/>
      <c r="X36" s="37">
        <f>SUM(Table_Query_from_MS_Access_Database_1[[#This Row],[HURF EX]:[STP OTHER]])</f>
        <v>500</v>
      </c>
      <c r="Y36" s="37">
        <f ca="1">IF(ISTEXT(INDIRECT(ADDRESS(ROW()-1,COLUMN()))), INDIRECT(ADDRESS(12,COLUMN()))-SUM(Table_Query_from_MS_Access_Database8[TOTAL OF AMOUNT]),INDIRECT(ADDRESS(ROW()-1,COLUMN())))-Table_Query_from_MS_Access_Database_1[[#This Row],[TOTAL OF AMOUNT]]</f>
        <v>0</v>
      </c>
    </row>
    <row r="37" spans="1:25" s="36" customFormat="1" ht="28.5" customHeight="1">
      <c r="A37" s="37" t="s">
        <v>312</v>
      </c>
      <c r="B37" s="37" t="s">
        <v>313</v>
      </c>
      <c r="C37" s="37" t="s">
        <v>314</v>
      </c>
      <c r="D37" s="37" t="s">
        <v>21</v>
      </c>
      <c r="E37" s="123" t="s">
        <v>315</v>
      </c>
      <c r="F37" s="165" t="s">
        <v>316</v>
      </c>
      <c r="G37" s="77" t="s">
        <v>277</v>
      </c>
      <c r="H37" s="77" t="s">
        <v>317</v>
      </c>
      <c r="I37" s="153">
        <v>46020</v>
      </c>
      <c r="J37" s="140">
        <v>46020</v>
      </c>
      <c r="K37" s="140">
        <v>46020</v>
      </c>
      <c r="L37" s="140"/>
      <c r="M37" s="173"/>
      <c r="N37" s="86"/>
      <c r="O37" s="86"/>
      <c r="P37" s="86"/>
      <c r="Q37" s="86"/>
      <c r="R37" s="86"/>
      <c r="S37" s="58"/>
      <c r="T37" s="58"/>
      <c r="U37" s="58">
        <v>-26263</v>
      </c>
      <c r="V37" s="58"/>
      <c r="W37" s="37"/>
      <c r="X37" s="37">
        <f>SUM(Table_Query_from_MS_Access_Database_1[[#This Row],[HURF EX]:[STP OTHER]])</f>
        <v>-26263</v>
      </c>
      <c r="Y37" s="37">
        <f ca="1">IF(ISTEXT(INDIRECT(ADDRESS(ROW()-1,COLUMN()))), INDIRECT(ADDRESS(12,COLUMN()))-SUM(Table_Query_from_MS_Access_Database8[TOTAL OF AMOUNT]),INDIRECT(ADDRESS(ROW()-1,COLUMN())))-Table_Query_from_MS_Access_Database_1[[#This Row],[TOTAL OF AMOUNT]]</f>
        <v>26263</v>
      </c>
    </row>
    <row r="38" spans="1:25" s="36" customFormat="1" ht="28.5" customHeight="1">
      <c r="A38" s="37" t="s">
        <v>318</v>
      </c>
      <c r="B38" s="37" t="s">
        <v>319</v>
      </c>
      <c r="C38" s="37" t="s">
        <v>314</v>
      </c>
      <c r="D38" s="37" t="s">
        <v>21</v>
      </c>
      <c r="E38" s="123" t="s">
        <v>320</v>
      </c>
      <c r="F38" s="165" t="s">
        <v>316</v>
      </c>
      <c r="G38" s="77" t="s">
        <v>277</v>
      </c>
      <c r="H38" s="77" t="s">
        <v>321</v>
      </c>
      <c r="I38" s="153">
        <v>46024</v>
      </c>
      <c r="J38" s="140">
        <v>46020</v>
      </c>
      <c r="K38" s="140">
        <v>46020</v>
      </c>
      <c r="L38" s="140"/>
      <c r="M38" s="173"/>
      <c r="N38" s="86"/>
      <c r="O38" s="86"/>
      <c r="P38" s="86"/>
      <c r="Q38" s="86"/>
      <c r="R38" s="86"/>
      <c r="S38" s="58"/>
      <c r="T38" s="58"/>
      <c r="U38" s="58">
        <v>-78730</v>
      </c>
      <c r="V38" s="58"/>
      <c r="W38" s="37"/>
      <c r="X38" s="37">
        <f>SUM(Table_Query_from_MS_Access_Database_1[[#This Row],[HURF EX]:[STP OTHER]])</f>
        <v>-78730</v>
      </c>
      <c r="Y38" s="37">
        <f ca="1">IF(ISTEXT(INDIRECT(ADDRESS(ROW()-1,COLUMN()))), INDIRECT(ADDRESS(12,COLUMN()))-SUM(Table_Query_from_MS_Access_Database8[TOTAL OF AMOUNT]),INDIRECT(ADDRESS(ROW()-1,COLUMN())))-Table_Query_from_MS_Access_Database_1[[#This Row],[TOTAL OF AMOUNT]]</f>
        <v>104993</v>
      </c>
    </row>
    <row r="39" spans="1:25" s="36" customFormat="1" ht="28.5" hidden="1" customHeight="1">
      <c r="A39" s="37"/>
      <c r="B39" s="37"/>
      <c r="C39" s="37"/>
      <c r="D39" s="37"/>
      <c r="E39" s="123"/>
      <c r="F39" s="165"/>
      <c r="G39" s="77"/>
      <c r="H39" s="77"/>
      <c r="I39" s="153"/>
      <c r="J39" s="140"/>
      <c r="K39" s="140"/>
      <c r="L39" s="140"/>
      <c r="M39" s="173"/>
      <c r="N39" s="86"/>
      <c r="O39" s="86"/>
      <c r="P39" s="86"/>
      <c r="Q39" s="86"/>
      <c r="R39" s="86"/>
      <c r="S39" s="58"/>
      <c r="T39" s="58"/>
      <c r="U39" s="58"/>
      <c r="V39" s="58"/>
      <c r="W39" s="37"/>
      <c r="X39" s="37"/>
      <c r="Y39" s="37"/>
    </row>
    <row r="40" spans="1:25" s="36" customFormat="1" ht="28.5" hidden="1" customHeight="1">
      <c r="A40" s="37"/>
      <c r="B40" s="37"/>
      <c r="C40" s="37"/>
      <c r="D40" s="37"/>
      <c r="E40" s="123"/>
      <c r="F40" s="165"/>
      <c r="G40" s="77"/>
      <c r="H40" s="77"/>
      <c r="I40" s="153"/>
      <c r="J40" s="140"/>
      <c r="K40" s="140"/>
      <c r="L40" s="140"/>
      <c r="M40" s="173"/>
      <c r="N40" s="86"/>
      <c r="O40" s="86"/>
      <c r="P40" s="86"/>
      <c r="Q40" s="86"/>
      <c r="R40" s="86"/>
      <c r="S40" s="58"/>
      <c r="T40" s="58"/>
      <c r="U40" s="58"/>
      <c r="V40" s="58"/>
      <c r="W40" s="37"/>
      <c r="X40" s="37"/>
      <c r="Y40" s="37"/>
    </row>
    <row r="41" spans="1:25" s="36" customFormat="1" ht="28.5" hidden="1" customHeight="1">
      <c r="A41" s="37"/>
      <c r="B41" s="37"/>
      <c r="C41" s="37"/>
      <c r="D41" s="37"/>
      <c r="E41" s="123"/>
      <c r="F41" s="165"/>
      <c r="G41" s="77"/>
      <c r="H41" s="77"/>
      <c r="I41" s="153"/>
      <c r="J41" s="140"/>
      <c r="K41" s="140"/>
      <c r="L41" s="140"/>
      <c r="M41" s="173"/>
      <c r="N41" s="86"/>
      <c r="O41" s="86"/>
      <c r="P41" s="86"/>
      <c r="Q41" s="86"/>
      <c r="R41" s="86"/>
      <c r="S41" s="58"/>
      <c r="T41" s="58"/>
      <c r="U41" s="58"/>
      <c r="V41" s="58"/>
      <c r="W41" s="37"/>
      <c r="X41" s="37"/>
      <c r="Y41" s="37"/>
    </row>
    <row r="42" spans="1:25" s="54" customFormat="1" ht="12">
      <c r="A42" s="36"/>
      <c r="B42" s="36"/>
      <c r="C42" s="36"/>
      <c r="D42" s="36"/>
      <c r="E42" s="36"/>
      <c r="F42" s="36"/>
      <c r="G42" s="36"/>
      <c r="H42" s="36"/>
      <c r="I42" s="36"/>
      <c r="J42" s="37"/>
      <c r="K42" s="37"/>
      <c r="L42" s="155" t="s">
        <v>80</v>
      </c>
      <c r="M42" s="151">
        <f>SUM(Table_Query_from_MS_Access_Database_1[[#All],[HURF EX]])</f>
        <v>0</v>
      </c>
      <c r="N42" s="151">
        <f>SUM(Table_Query_from_MS_Access_Database_1[[#All],[HSIP]])</f>
        <v>0</v>
      </c>
      <c r="O42" s="151">
        <f>SUM(Table_Query_from_MS_Access_Database_1[[#All],[PL]])</f>
        <v>40754.949999999997</v>
      </c>
      <c r="P42" s="151">
        <f>SUM(Table_Query_from_MS_Access_Database_1[[#All],[PL-SATO]])</f>
        <v>0</v>
      </c>
      <c r="Q42" s="151">
        <f>SUM(Table_Query_from_MS_Access_Database_1[[#All],[SPR]])</f>
        <v>27567.3</v>
      </c>
      <c r="R42" s="151">
        <f>SUM(Table_Query_from_MS_Access_Database_1[[#All],[STP &lt;5]])</f>
        <v>0</v>
      </c>
      <c r="S42" s="151">
        <f>SUM(Table_Query_from_MS_Access_Database_1[[#All],[STP 5-200]])</f>
        <v>0</v>
      </c>
      <c r="T42" s="151">
        <f>SUM(Table_Query_from_MS_Access_Database_1[[#All],[STP 5-50]])</f>
        <v>0</v>
      </c>
      <c r="U42" s="151">
        <f>SUM(Table_Query_from_MS_Access_Database_1[[#All],[STP 50-200]])</f>
        <v>-104493</v>
      </c>
      <c r="V42" s="151">
        <f>SUM(Table_Query_from_MS_Access_Database_1[[#All],[CRP 50-200]])</f>
        <v>281927</v>
      </c>
      <c r="W42" s="151">
        <f>SUM(Table_Query_from_MS_Access_Database_1[[#All],[STP OTHER]])</f>
        <v>0</v>
      </c>
      <c r="X42" s="152">
        <f>SUBTOTAL(109,Table_Query_from_MS_Access_Database_1[TOTAL OF AMOUNT])</f>
        <v>245756.25</v>
      </c>
    </row>
    <row r="43" spans="1:25" s="36" customFormat="1" ht="24">
      <c r="C43" s="162"/>
      <c r="J43" s="37"/>
      <c r="K43" s="37"/>
      <c r="L43" s="155" t="s">
        <v>72</v>
      </c>
      <c r="M43" s="150">
        <f t="shared" ref="M43:X43" si="3">+M29-M42</f>
        <v>0</v>
      </c>
      <c r="N43" s="150">
        <f t="shared" si="3"/>
        <v>0</v>
      </c>
      <c r="O43" s="150">
        <f t="shared" si="3"/>
        <v>3194.9799999999959</v>
      </c>
      <c r="P43" s="150">
        <f t="shared" si="3"/>
        <v>4178</v>
      </c>
      <c r="Q43" s="150">
        <f t="shared" si="3"/>
        <v>18413.490000000009</v>
      </c>
      <c r="R43" s="150">
        <f t="shared" si="3"/>
        <v>234833</v>
      </c>
      <c r="S43" s="150">
        <f t="shared" si="3"/>
        <v>0</v>
      </c>
      <c r="T43" s="150">
        <f t="shared" si="3"/>
        <v>159168</v>
      </c>
      <c r="U43" s="150">
        <f t="shared" si="3"/>
        <v>-273235.90999999997</v>
      </c>
      <c r="V43" s="150">
        <f t="shared" si="3"/>
        <v>29090</v>
      </c>
      <c r="W43" s="150">
        <f t="shared" si="3"/>
        <v>0</v>
      </c>
      <c r="X43" s="150">
        <f t="shared" si="3"/>
        <v>175641.56000000006</v>
      </c>
    </row>
    <row r="44" spans="1:25" s="36" customFormat="1" ht="17.25" customHeight="1">
      <c r="A44" s="24"/>
      <c r="B44" s="24"/>
      <c r="C44" s="24"/>
      <c r="D44" s="24"/>
      <c r="E44" s="24"/>
      <c r="F44" s="24"/>
      <c r="G44" s="24"/>
      <c r="H44" s="24"/>
      <c r="I44" s="24"/>
      <c r="J44" s="27"/>
      <c r="K44" s="27"/>
      <c r="L44" s="27"/>
      <c r="M44" s="37">
        <f t="shared" ref="M44:X44" si="4">+M28+M42</f>
        <v>0</v>
      </c>
      <c r="N44" s="37">
        <f t="shared" si="4"/>
        <v>0</v>
      </c>
      <c r="O44" s="37">
        <f t="shared" si="4"/>
        <v>159743.02000000002</v>
      </c>
      <c r="P44" s="37">
        <f t="shared" si="4"/>
        <v>0</v>
      </c>
      <c r="Q44" s="37">
        <f t="shared" si="4"/>
        <v>106586.51</v>
      </c>
      <c r="R44" s="37">
        <f t="shared" si="4"/>
        <v>0</v>
      </c>
      <c r="S44" s="37">
        <f t="shared" si="4"/>
        <v>0</v>
      </c>
      <c r="T44" s="37">
        <f t="shared" si="4"/>
        <v>0</v>
      </c>
      <c r="U44" s="37">
        <f t="shared" si="4"/>
        <v>551819</v>
      </c>
      <c r="V44" s="37">
        <f t="shared" si="4"/>
        <v>281927</v>
      </c>
      <c r="W44" s="37">
        <f t="shared" si="4"/>
        <v>0</v>
      </c>
      <c r="X44" s="37">
        <f t="shared" si="4"/>
        <v>1100075.53</v>
      </c>
      <c r="Y44" s="54"/>
    </row>
    <row r="45" spans="1:25" s="36" customFormat="1">
      <c r="A45" s="24"/>
      <c r="B45" s="24"/>
      <c r="C45" s="24"/>
      <c r="D45" s="24"/>
      <c r="E45" s="24"/>
      <c r="F45" s="24"/>
      <c r="G45" s="24"/>
      <c r="H45" s="24"/>
      <c r="I45" s="24"/>
      <c r="J45" s="27"/>
      <c r="K45" s="27"/>
      <c r="L45" s="27"/>
      <c r="M45" s="27"/>
      <c r="N45" s="27"/>
      <c r="O45" s="27"/>
      <c r="P45" s="27"/>
      <c r="Q45" s="27"/>
      <c r="R45" s="24"/>
      <c r="S45" s="24"/>
      <c r="T45" s="37"/>
      <c r="U45" s="54"/>
    </row>
    <row r="46" spans="1:25" ht="16.5" customHeight="1">
      <c r="A46" s="38" t="s">
        <v>73</v>
      </c>
      <c r="J46" s="27"/>
      <c r="K46" s="27"/>
      <c r="L46" s="27"/>
      <c r="M46" s="190" t="s">
        <v>56</v>
      </c>
      <c r="N46" s="190"/>
      <c r="O46" s="190"/>
      <c r="P46" s="190"/>
      <c r="Q46" s="190"/>
      <c r="R46" s="190"/>
      <c r="S46" s="190"/>
      <c r="T46" s="190"/>
      <c r="U46" s="190"/>
      <c r="V46" s="190"/>
      <c r="W46" s="190"/>
      <c r="X46" s="190"/>
      <c r="Y46" s="36"/>
    </row>
    <row r="47" spans="1:25">
      <c r="A47" s="36"/>
      <c r="B47" s="36"/>
      <c r="C47" s="36"/>
      <c r="D47" s="36"/>
      <c r="E47" s="36"/>
      <c r="F47" s="36"/>
      <c r="G47" s="36"/>
      <c r="H47" s="36"/>
      <c r="I47" s="36"/>
      <c r="J47" s="37"/>
      <c r="K47" s="37"/>
      <c r="L47" s="37"/>
      <c r="M47" s="79" t="s">
        <v>161</v>
      </c>
      <c r="N47" s="79" t="s">
        <v>4</v>
      </c>
      <c r="O47" s="79" t="s">
        <v>42</v>
      </c>
      <c r="P47" s="79" t="s">
        <v>230</v>
      </c>
      <c r="Q47" s="79" t="s">
        <v>5</v>
      </c>
      <c r="R47" s="79" t="s">
        <v>96</v>
      </c>
      <c r="S47" s="79" t="s">
        <v>158</v>
      </c>
      <c r="T47" s="79" t="s">
        <v>223</v>
      </c>
      <c r="U47" s="79" t="s">
        <v>224</v>
      </c>
      <c r="V47" s="79" t="s">
        <v>225</v>
      </c>
      <c r="W47" s="79" t="s">
        <v>53</v>
      </c>
      <c r="X47" s="79" t="s">
        <v>54</v>
      </c>
      <c r="Y47" s="59" t="s">
        <v>57</v>
      </c>
    </row>
    <row r="48" spans="1:25" ht="14.4">
      <c r="A48" s="36"/>
      <c r="B48" s="36"/>
      <c r="C48" s="36"/>
      <c r="D48" s="36"/>
      <c r="E48" s="36"/>
      <c r="F48" s="36"/>
      <c r="G48" s="36"/>
      <c r="H48" s="36"/>
      <c r="I48" s="36"/>
      <c r="J48" s="124"/>
      <c r="K48" s="124"/>
      <c r="L48" s="55" t="s">
        <v>296</v>
      </c>
      <c r="M48" s="57">
        <f>+M43</f>
        <v>0</v>
      </c>
      <c r="N48" s="57">
        <f t="shared" ref="N48:W48" si="5">+N43</f>
        <v>0</v>
      </c>
      <c r="O48" s="57">
        <f t="shared" si="5"/>
        <v>3194.9799999999959</v>
      </c>
      <c r="P48" s="57">
        <f t="shared" si="5"/>
        <v>4178</v>
      </c>
      <c r="Q48" s="57">
        <f t="shared" si="5"/>
        <v>18413.490000000009</v>
      </c>
      <c r="R48" s="57">
        <f t="shared" si="5"/>
        <v>234833</v>
      </c>
      <c r="S48" s="57">
        <f t="shared" si="5"/>
        <v>0</v>
      </c>
      <c r="T48" s="57">
        <f t="shared" si="5"/>
        <v>159168</v>
      </c>
      <c r="U48" s="57">
        <f t="shared" si="5"/>
        <v>-273235.90999999997</v>
      </c>
      <c r="V48" s="57">
        <f t="shared" si="5"/>
        <v>29090</v>
      </c>
      <c r="W48" s="57">
        <f t="shared" si="5"/>
        <v>0</v>
      </c>
      <c r="X48" s="57">
        <f>SUM(M48:W48)</f>
        <v>175641.56</v>
      </c>
      <c r="Y48" s="57">
        <f ca="1">Y38</f>
        <v>104993</v>
      </c>
    </row>
    <row r="49" spans="1:25">
      <c r="A49" s="36"/>
      <c r="B49" s="36"/>
      <c r="C49" s="36"/>
      <c r="D49" s="36"/>
      <c r="E49" s="36"/>
      <c r="F49" s="36"/>
      <c r="G49" s="36"/>
      <c r="H49" s="36"/>
      <c r="I49" s="36"/>
      <c r="J49" s="37"/>
      <c r="K49" s="37"/>
      <c r="L49" s="55" t="s">
        <v>297</v>
      </c>
      <c r="M49" s="78">
        <f>SUMIFS(Table_Query_from_MS_Access_Database[[#All],[Notes]],Table_Query_from_MS_Access_Database[[#All],[Transaction Year]],"2022",Table_Query_from_MS_Access_Database[[#All],[Transaction Type]],"Lapsing")</f>
        <v>0</v>
      </c>
      <c r="N49" s="78">
        <f>SUMIFS(Table_Query_from_MS_Access_Database[[#All],[Notes]],Table_Query_from_MS_Access_Database[[#All],[Transaction Year]],"2022",Table_Query_from_MS_Access_Database[[#All],[Transaction Type]],"Lapsing")</f>
        <v>0</v>
      </c>
      <c r="O49" s="78">
        <f>SUMIFS(Table_Query_from_MS_Access_Database[[#All],[Notes]],Table_Query_from_MS_Access_Database[[#All],[Transaction Year]],"2022",Table_Query_from_MS_Access_Database[[#All],[Transaction Type]],"Lapsing")</f>
        <v>0</v>
      </c>
      <c r="P49" s="78">
        <f>SUMIFS(Table_Query_from_MS_Access_Database[[#All],[Notes]],Table_Query_from_MS_Access_Database[[#All],[Transaction Year]],"2022",Table_Query_from_MS_Access_Database[[#All],[Transaction Type]],"Lapsing")</f>
        <v>0</v>
      </c>
      <c r="Q49" s="78">
        <f>SUMIFS(Table_Query_from_MS_Access_Database[[#All],[Notes]],Table_Query_from_MS_Access_Database[[#All],[Transaction Year]],"2022",Table_Query_from_MS_Access_Database[[#All],[Transaction Type]],"Lapsing")</f>
        <v>0</v>
      </c>
      <c r="R49" s="78">
        <f>SUMIFS(Table_Query_from_MS_Access_Database[[#All],[Notes]],Table_Query_from_MS_Access_Database[[#All],[Transaction Year]],"2022",Table_Query_from_MS_Access_Database[[#All],[Transaction Type]],"Lapsing")</f>
        <v>0</v>
      </c>
      <c r="S49" s="78">
        <f>SUMIFS(Table_Query_from_MS_Access_Database[[#All],[Notes]],Table_Query_from_MS_Access_Database[[#All],[Transaction Year]],"2022",Table_Query_from_MS_Access_Database[[#All],[Transaction Type]],"Lapsing")</f>
        <v>0</v>
      </c>
      <c r="T49" s="78">
        <f>SUMIFS(Table_Query_from_MS_Access_Database[[#All],[Notes]],Table_Query_from_MS_Access_Database[[#All],[Transaction Year]],"2022",Table_Query_from_MS_Access_Database[[#All],[Transaction Type]],"Lapsing")</f>
        <v>0</v>
      </c>
      <c r="U49" s="78">
        <f>SUMIFS(Table_Query_from_MS_Access_Database[[#All],[Notes]],Table_Query_from_MS_Access_Database[[#All],[Transaction Year]],"2022",Table_Query_from_MS_Access_Database[[#All],[Transaction Type]],"Lapsing")</f>
        <v>0</v>
      </c>
      <c r="V49" s="78">
        <f>SUMIFS(Table_Query_from_MS_Access_Database[[#All],[Notes]],Table_Query_from_MS_Access_Database[[#All],[Transaction Year]],"2022",Table_Query_from_MS_Access_Database[[#All],[Transaction Type]],"Lapsing")</f>
        <v>0</v>
      </c>
      <c r="W49" s="78">
        <f>SUMIFS(Table_Query_from_MS_Access_Database[[#All],[Notes]],Table_Query_from_MS_Access_Database[[#All],[Transaction Year]],"2022",Table_Query_from_MS_Access_Database[[#All],[Transaction Type]],"Lapsing")</f>
        <v>0</v>
      </c>
      <c r="X49" s="161">
        <f>SUM(M49:W49)</f>
        <v>0</v>
      </c>
      <c r="Y49" s="78">
        <f>SUMIFS(Table_Query_from_MS_Access_Database_16[[#All],[To]],Table_Query_from_MS_Access_Database_16[[#All],[Transaction Year]],"2021",Table_Query_from_MS_Access_Database_16[[#All],[Transaction Type]],"Lapsing")</f>
        <v>0</v>
      </c>
    </row>
    <row r="50" spans="1:25">
      <c r="A50" s="159"/>
      <c r="B50" s="160"/>
      <c r="C50" s="160"/>
      <c r="D50" s="160"/>
      <c r="E50" s="160"/>
      <c r="F50" s="160"/>
      <c r="G50" s="160"/>
      <c r="H50" s="160"/>
      <c r="I50" s="160"/>
      <c r="J50" s="160"/>
      <c r="K50" s="160"/>
      <c r="L50" s="55" t="s">
        <v>298</v>
      </c>
      <c r="M50" s="57">
        <f>SUM(M48:M49)</f>
        <v>0</v>
      </c>
      <c r="N50" s="57">
        <f t="shared" ref="N50" si="6">SUM(N48:N49)</f>
        <v>0</v>
      </c>
      <c r="O50" s="57">
        <f>SUM(O48:O49)</f>
        <v>3194.9799999999959</v>
      </c>
      <c r="P50" s="57">
        <f>SUM(P48:P49)</f>
        <v>4178</v>
      </c>
      <c r="Q50" s="57">
        <f t="shared" ref="Q50:V50" si="7">SUM(Q48:Q49)</f>
        <v>18413.490000000009</v>
      </c>
      <c r="R50" s="57">
        <f t="shared" si="7"/>
        <v>234833</v>
      </c>
      <c r="S50" s="57">
        <f t="shared" si="7"/>
        <v>0</v>
      </c>
      <c r="T50" s="57">
        <f t="shared" si="7"/>
        <v>159168</v>
      </c>
      <c r="U50" s="57">
        <f t="shared" si="7"/>
        <v>-273235.90999999997</v>
      </c>
      <c r="V50" s="57">
        <f t="shared" si="7"/>
        <v>29090</v>
      </c>
      <c r="W50" s="57">
        <f>SUM(W48:W49)</f>
        <v>0</v>
      </c>
      <c r="X50" s="57">
        <f>SUM(X48:X49)</f>
        <v>175641.56</v>
      </c>
      <c r="Y50" s="57">
        <f ca="1">SUM(Y48:Y49)</f>
        <v>104993</v>
      </c>
    </row>
    <row r="51" spans="1:25">
      <c r="A51" s="36"/>
      <c r="B51" s="36"/>
      <c r="C51" s="36"/>
      <c r="D51" s="36"/>
      <c r="E51" s="36"/>
      <c r="F51" s="36"/>
      <c r="G51" s="36"/>
      <c r="H51" s="36"/>
      <c r="I51" s="36"/>
      <c r="J51" s="37"/>
      <c r="K51" s="37"/>
      <c r="L51" s="56" t="s">
        <v>299</v>
      </c>
      <c r="M51" s="78">
        <f>+M48-M43</f>
        <v>0</v>
      </c>
      <c r="N51" s="78">
        <f t="shared" ref="N51:W51" si="8">+N48-N43</f>
        <v>0</v>
      </c>
      <c r="O51" s="78">
        <f t="shared" si="8"/>
        <v>0</v>
      </c>
      <c r="P51" s="78">
        <f t="shared" si="8"/>
        <v>0</v>
      </c>
      <c r="Q51" s="78">
        <f t="shared" si="8"/>
        <v>0</v>
      </c>
      <c r="R51" s="78">
        <f t="shared" si="8"/>
        <v>0</v>
      </c>
      <c r="S51" s="78">
        <f t="shared" si="8"/>
        <v>0</v>
      </c>
      <c r="T51" s="78">
        <f t="shared" si="8"/>
        <v>0</v>
      </c>
      <c r="U51" s="78">
        <f t="shared" si="8"/>
        <v>0</v>
      </c>
      <c r="V51" s="78">
        <f t="shared" si="8"/>
        <v>0</v>
      </c>
      <c r="W51" s="78">
        <f t="shared" si="8"/>
        <v>0</v>
      </c>
      <c r="X51" s="78">
        <f>+V51</f>
        <v>0</v>
      </c>
      <c r="Y51" s="78">
        <v>0</v>
      </c>
    </row>
    <row r="52" spans="1:25">
      <c r="W52" s="164"/>
      <c r="X52" s="164"/>
    </row>
    <row r="55" spans="1:25" ht="15.6">
      <c r="A55" s="188" t="s">
        <v>274</v>
      </c>
      <c r="Y55" s="27"/>
    </row>
    <row r="57" spans="1:25" ht="14.4">
      <c r="A57" t="s">
        <v>275</v>
      </c>
    </row>
    <row r="58" spans="1:25" ht="14.4">
      <c r="B58" s="185" t="s">
        <v>272</v>
      </c>
    </row>
    <row r="59" spans="1:25" ht="14.4">
      <c r="B59" s="185" t="s">
        <v>273</v>
      </c>
    </row>
    <row r="61" spans="1:25" ht="14.4">
      <c r="A61" t="s">
        <v>311</v>
      </c>
      <c r="B61"/>
    </row>
    <row r="62" spans="1:25" ht="14.4">
      <c r="A62"/>
      <c r="B62"/>
    </row>
    <row r="63" spans="1:25" ht="14.4">
      <c r="A63"/>
      <c r="B63"/>
    </row>
    <row r="64" spans="1:25" ht="14.4">
      <c r="A64"/>
      <c r="B64"/>
    </row>
    <row r="65" spans="1:2" ht="14.4">
      <c r="A65"/>
      <c r="B65"/>
    </row>
  </sheetData>
  <sheetProtection autoFilter="0"/>
  <mergeCells count="10">
    <mergeCell ref="M46:X46"/>
    <mergeCell ref="M2:X2"/>
    <mergeCell ref="M1:X1"/>
    <mergeCell ref="I14:L14"/>
    <mergeCell ref="A31:D31"/>
    <mergeCell ref="A1:F1"/>
    <mergeCell ref="A14:D14"/>
    <mergeCell ref="A9:J9"/>
    <mergeCell ref="A5:D5"/>
    <mergeCell ref="A3:C3"/>
  </mergeCells>
  <pageMargins left="0.5" right="0.25" top="0.75" bottom="0.5" header="0.3" footer="0.3"/>
  <pageSetup paperSize="17" scale="76" fitToHeight="0" orientation="landscape" horizontalDpi="1200" verticalDpi="1200" r:id="rId1"/>
  <headerFooter>
    <oddFooter>&amp;L&amp;8&amp;Z&amp;F&amp;R&amp;P of &amp;N</oddFooter>
  </headerFooter>
  <drawing r:id="rId2"/>
  <legacy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R183"/>
  <sheetViews>
    <sheetView topLeftCell="A55" zoomScaleNormal="100" workbookViewId="0">
      <selection activeCell="I87" sqref="I87"/>
    </sheetView>
  </sheetViews>
  <sheetFormatPr defaultColWidth="19.6640625" defaultRowHeight="14.4"/>
  <cols>
    <col min="1" max="1" width="16.33203125" style="16" bestFit="1" customWidth="1"/>
    <col min="2" max="2" width="16.77734375" style="16" bestFit="1" customWidth="1"/>
    <col min="3" max="3" width="21.109375" style="16" bestFit="1" customWidth="1"/>
    <col min="4" max="5" width="9.6640625" style="16" bestFit="1" customWidth="1"/>
    <col min="6" max="6" width="16.21875" style="16" bestFit="1" customWidth="1"/>
    <col min="7" max="7" width="38.109375" style="16" bestFit="1" customWidth="1"/>
    <col min="8" max="8" width="40.109375" style="17" bestFit="1" customWidth="1"/>
    <col min="9" max="9" width="13.21875" style="16" bestFit="1" customWidth="1"/>
    <col min="10" max="10" width="7.77734375" style="16" bestFit="1" customWidth="1"/>
    <col min="11" max="11" width="10.21875" style="16" bestFit="1" customWidth="1"/>
    <col min="12" max="12" width="15.44140625" style="16" bestFit="1" customWidth="1"/>
    <col min="13" max="13" width="11.6640625" style="16" bestFit="1" customWidth="1"/>
    <col min="14" max="14" width="9.6640625" style="16" bestFit="1" customWidth="1"/>
    <col min="15" max="15" width="11.88671875" style="16" bestFit="1" customWidth="1"/>
    <col min="16" max="16" width="10.6640625" style="16" bestFit="1" customWidth="1"/>
    <col min="17" max="18" width="13.21875" style="16" bestFit="1" customWidth="1"/>
    <col min="19" max="19" width="11.6640625" style="16" bestFit="1" customWidth="1"/>
    <col min="20" max="20" width="11.5546875" style="16" bestFit="1" customWidth="1"/>
    <col min="21" max="21" width="11.77734375" style="16" bestFit="1" customWidth="1"/>
    <col min="22" max="22" width="11.6640625" style="16" bestFit="1" customWidth="1"/>
    <col min="23" max="23" width="9.88671875" style="16" bestFit="1" customWidth="1"/>
    <col min="24" max="24" width="10" style="16" bestFit="1" customWidth="1"/>
    <col min="25" max="25" width="10.109375" style="16" bestFit="1" customWidth="1"/>
    <col min="26" max="26" width="8.109375" style="16" bestFit="1" customWidth="1"/>
    <col min="27" max="27" width="8.77734375" style="16" bestFit="1" customWidth="1"/>
    <col min="28" max="28" width="12.33203125" style="16" customWidth="1"/>
    <col min="29" max="29" width="10.109375" style="16" customWidth="1"/>
    <col min="30" max="30" width="10.6640625" style="16" customWidth="1"/>
    <col min="31" max="31" width="12.6640625" style="16" customWidth="1"/>
    <col min="32" max="32" width="16.5546875" style="16" customWidth="1"/>
    <col min="33" max="33" width="11.6640625" style="16" customWidth="1"/>
    <col min="34" max="34" width="15.6640625" style="16" customWidth="1"/>
    <col min="35" max="35" width="13.44140625" style="16" customWidth="1"/>
    <col min="36" max="36" width="15.6640625" style="16" customWidth="1"/>
    <col min="37" max="38" width="9.5546875" style="16" customWidth="1"/>
    <col min="39" max="39" width="11.88671875" style="16" customWidth="1"/>
    <col min="40" max="40" width="64.33203125" style="16" customWidth="1"/>
    <col min="41" max="41" width="14" style="16" customWidth="1"/>
    <col min="42" max="42" width="16.88671875" style="16" customWidth="1"/>
    <col min="43" max="43" width="12.109375" style="16" customWidth="1"/>
    <col min="44" max="44" width="16" style="16" customWidth="1"/>
  </cols>
  <sheetData>
    <row r="1" spans="1:44" ht="18">
      <c r="A1" s="198" t="str">
        <f>+'Federal Funds Transactions'!A1:F1</f>
        <v>Sun Corridor Metropolitan Planning Organization</v>
      </c>
      <c r="B1" s="198"/>
      <c r="C1" s="198"/>
      <c r="D1" s="198"/>
      <c r="E1" s="198"/>
      <c r="F1" s="198"/>
    </row>
    <row r="2" spans="1:44">
      <c r="A2" s="18"/>
      <c r="B2" s="18"/>
      <c r="C2" s="18"/>
      <c r="D2" s="18"/>
      <c r="E2" s="18"/>
      <c r="F2" s="18"/>
    </row>
    <row r="3" spans="1:44">
      <c r="A3" s="199" t="s">
        <v>78</v>
      </c>
      <c r="B3" s="199"/>
      <c r="C3" s="199"/>
      <c r="D3" s="199"/>
      <c r="E3" s="199"/>
      <c r="F3" s="199"/>
    </row>
    <row r="4" spans="1:44">
      <c r="A4" s="19"/>
      <c r="B4" s="19"/>
      <c r="C4" s="19"/>
      <c r="D4" s="19"/>
      <c r="E4" s="19"/>
      <c r="F4" s="19"/>
    </row>
    <row r="5" spans="1:44">
      <c r="A5" s="16" t="s">
        <v>77</v>
      </c>
      <c r="B5" s="45">
        <f>'Federal Funds Transactions'!C6</f>
        <v>46024</v>
      </c>
      <c r="C5" s="18"/>
      <c r="D5" s="18"/>
      <c r="E5" s="18"/>
      <c r="F5" s="18"/>
    </row>
    <row r="6" spans="1:44">
      <c r="A6" s="18"/>
      <c r="B6" s="18"/>
      <c r="C6" s="18"/>
      <c r="D6" s="18"/>
      <c r="E6" s="18"/>
      <c r="F6" s="18"/>
    </row>
    <row r="7" spans="1:44" ht="15" customHeight="1">
      <c r="A7" s="202" t="str">
        <f>+'Federal Funds Transactions'!A9:L9</f>
        <v>IMPORTANT! Please review the information in the Notes tab for further explanation of the data in this document.</v>
      </c>
      <c r="B7" s="202"/>
      <c r="C7" s="202"/>
      <c r="D7" s="202"/>
      <c r="E7" s="202"/>
      <c r="F7" s="202"/>
      <c r="G7" s="202"/>
      <c r="H7" s="202"/>
    </row>
    <row r="9" spans="1:44" ht="15.75" customHeight="1">
      <c r="A9" s="200" t="s">
        <v>75</v>
      </c>
      <c r="B9" s="200"/>
      <c r="C9" s="200"/>
      <c r="D9" s="200"/>
      <c r="E9" s="200"/>
      <c r="F9" s="200"/>
      <c r="G9" s="20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row>
    <row r="10" spans="1:44" ht="15.6">
      <c r="A10" s="21"/>
      <c r="B10" s="21"/>
      <c r="C10" s="21"/>
      <c r="D10" s="21"/>
      <c r="E10" s="22"/>
      <c r="F10" s="22"/>
      <c r="G10" s="22"/>
      <c r="H10" s="23"/>
      <c r="I10" s="22"/>
      <c r="J10" s="22"/>
      <c r="K10" s="22"/>
      <c r="L10" s="22"/>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2"/>
      <c r="AR10" s="22"/>
    </row>
    <row r="11" spans="1:44">
      <c r="A11" s="48" t="s">
        <v>43</v>
      </c>
      <c r="B11" s="49" t="s">
        <v>44</v>
      </c>
      <c r="C11" s="49" t="s">
        <v>13</v>
      </c>
      <c r="D11" s="49" t="s">
        <v>82</v>
      </c>
      <c r="E11" s="49" t="s">
        <v>83</v>
      </c>
      <c r="F11" s="49" t="s">
        <v>45</v>
      </c>
      <c r="G11" s="49" t="s">
        <v>84</v>
      </c>
      <c r="H11" s="49" t="s">
        <v>85</v>
      </c>
      <c r="I11" s="49" t="s">
        <v>10</v>
      </c>
      <c r="J11" s="49" t="s">
        <v>41</v>
      </c>
      <c r="K11" s="49" t="s">
        <v>151</v>
      </c>
      <c r="L11" s="49" t="s">
        <v>160</v>
      </c>
      <c r="M11" s="49" t="s">
        <v>4</v>
      </c>
      <c r="N11" s="49" t="s">
        <v>152</v>
      </c>
      <c r="O11" s="49" t="s">
        <v>222</v>
      </c>
      <c r="P11" s="49" t="s">
        <v>5</v>
      </c>
      <c r="Q11" s="49" t="s">
        <v>96</v>
      </c>
      <c r="R11" s="49" t="s">
        <v>100</v>
      </c>
      <c r="S11" s="49" t="s">
        <v>223</v>
      </c>
      <c r="T11" s="49" t="s">
        <v>224</v>
      </c>
      <c r="U11" s="49" t="s">
        <v>225</v>
      </c>
      <c r="V11" s="49" t="s">
        <v>226</v>
      </c>
      <c r="W11" s="49" t="s">
        <v>153</v>
      </c>
      <c r="X11" s="49" t="s">
        <v>227</v>
      </c>
      <c r="Y11" s="49" t="s">
        <v>154</v>
      </c>
      <c r="Z11" s="49" t="s">
        <v>228</v>
      </c>
      <c r="AA11" s="49" t="s">
        <v>229</v>
      </c>
      <c r="AB11" s="22"/>
      <c r="AC11" s="22"/>
      <c r="AD11" s="22"/>
      <c r="AE11" s="22"/>
      <c r="AF11"/>
      <c r="AG11"/>
      <c r="AH11"/>
      <c r="AI11"/>
      <c r="AJ11"/>
      <c r="AK11"/>
      <c r="AL11"/>
      <c r="AM11"/>
      <c r="AN11"/>
      <c r="AO11"/>
      <c r="AP11"/>
      <c r="AQ11"/>
      <c r="AR11"/>
    </row>
    <row r="12" spans="1:44">
      <c r="A12" s="41" t="s">
        <v>89</v>
      </c>
      <c r="B12" s="39" t="s">
        <v>93</v>
      </c>
      <c r="C12" s="39" t="s">
        <v>111</v>
      </c>
      <c r="D12" s="39" t="s">
        <v>112</v>
      </c>
      <c r="E12" s="39" t="s">
        <v>88</v>
      </c>
      <c r="F12" s="39" t="s">
        <v>89</v>
      </c>
      <c r="G12" s="39"/>
      <c r="H12" s="39" t="s">
        <v>113</v>
      </c>
      <c r="I12" s="39">
        <v>-86599.75</v>
      </c>
      <c r="J12" s="39"/>
      <c r="K12" s="39"/>
      <c r="L12" s="39"/>
      <c r="M12" s="40">
        <v>-25561</v>
      </c>
      <c r="N12" s="40">
        <v>-5973</v>
      </c>
      <c r="O12" s="81"/>
      <c r="P12" s="81">
        <v>-15245.75</v>
      </c>
      <c r="Q12" s="81"/>
      <c r="R12" s="81"/>
      <c r="S12" s="81"/>
      <c r="T12" s="81"/>
      <c r="U12" s="84"/>
      <c r="V12" s="125">
        <v>-39820</v>
      </c>
      <c r="W12" s="125"/>
      <c r="X12" s="125"/>
      <c r="Y12" s="125"/>
      <c r="Z12" s="125"/>
      <c r="AA12" s="125"/>
      <c r="AB12" s="46"/>
      <c r="AC12" s="46"/>
      <c r="AD12" s="46"/>
      <c r="AE12" s="46"/>
      <c r="AF12"/>
      <c r="AG12"/>
      <c r="AH12"/>
      <c r="AI12"/>
      <c r="AJ12"/>
      <c r="AK12"/>
      <c r="AL12"/>
      <c r="AM12"/>
      <c r="AN12"/>
      <c r="AO12"/>
      <c r="AP12"/>
      <c r="AQ12"/>
      <c r="AR12"/>
    </row>
    <row r="13" spans="1:44">
      <c r="A13" s="42" t="s">
        <v>89</v>
      </c>
      <c r="B13" s="40" t="s">
        <v>106</v>
      </c>
      <c r="C13" s="40" t="s">
        <v>114</v>
      </c>
      <c r="D13" s="40" t="s">
        <v>115</v>
      </c>
      <c r="E13" s="40" t="s">
        <v>112</v>
      </c>
      <c r="F13" s="40" t="s">
        <v>90</v>
      </c>
      <c r="G13" s="40" t="s">
        <v>116</v>
      </c>
      <c r="H13" s="40" t="s">
        <v>117</v>
      </c>
      <c r="I13" s="40">
        <v>127122</v>
      </c>
      <c r="J13" s="40"/>
      <c r="K13" s="40"/>
      <c r="L13" s="40"/>
      <c r="M13" s="40">
        <v>127122</v>
      </c>
      <c r="N13" s="40"/>
      <c r="O13" s="81"/>
      <c r="P13" s="81"/>
      <c r="Q13" s="81"/>
      <c r="R13" s="81"/>
      <c r="S13" s="81"/>
      <c r="T13" s="81"/>
      <c r="U13" s="84"/>
      <c r="V13" s="125"/>
      <c r="W13" s="125"/>
      <c r="X13" s="125"/>
      <c r="Y13" s="125"/>
      <c r="Z13" s="125"/>
      <c r="AA13" s="125"/>
      <c r="AB13" s="46"/>
      <c r="AC13" s="46"/>
      <c r="AD13" s="46"/>
      <c r="AE13" s="46"/>
      <c r="AF13"/>
      <c r="AG13"/>
      <c r="AH13"/>
      <c r="AI13"/>
      <c r="AJ13"/>
      <c r="AK13"/>
      <c r="AL13"/>
      <c r="AM13"/>
      <c r="AN13"/>
      <c r="AO13"/>
      <c r="AP13"/>
      <c r="AQ13"/>
      <c r="AR13"/>
    </row>
    <row r="14" spans="1:44">
      <c r="A14" s="42" t="s">
        <v>89</v>
      </c>
      <c r="B14" s="40" t="s">
        <v>103</v>
      </c>
      <c r="C14" s="40" t="s">
        <v>118</v>
      </c>
      <c r="D14" s="40" t="s">
        <v>119</v>
      </c>
      <c r="E14" s="40" t="s">
        <v>112</v>
      </c>
      <c r="F14" s="40" t="s">
        <v>89</v>
      </c>
      <c r="G14" s="40" t="s">
        <v>120</v>
      </c>
      <c r="H14" s="40" t="s">
        <v>121</v>
      </c>
      <c r="I14" s="40">
        <v>158061</v>
      </c>
      <c r="J14" s="40"/>
      <c r="K14" s="40"/>
      <c r="L14" s="40"/>
      <c r="M14" s="40"/>
      <c r="N14" s="40"/>
      <c r="O14" s="81"/>
      <c r="P14" s="81"/>
      <c r="Q14" s="81"/>
      <c r="R14" s="81"/>
      <c r="S14" s="81"/>
      <c r="T14" s="81"/>
      <c r="U14" s="84"/>
      <c r="V14" s="125">
        <v>158061</v>
      </c>
      <c r="W14" s="125"/>
      <c r="X14" s="125"/>
      <c r="Y14" s="125"/>
      <c r="Z14" s="125"/>
      <c r="AA14" s="125"/>
      <c r="AB14" s="46"/>
      <c r="AC14" s="46"/>
      <c r="AD14" s="46"/>
      <c r="AE14" s="46"/>
      <c r="AF14"/>
      <c r="AG14"/>
      <c r="AH14"/>
      <c r="AI14"/>
      <c r="AJ14"/>
      <c r="AK14"/>
      <c r="AL14"/>
      <c r="AM14"/>
      <c r="AN14"/>
      <c r="AO14"/>
      <c r="AP14"/>
      <c r="AQ14"/>
      <c r="AR14"/>
    </row>
    <row r="15" spans="1:44">
      <c r="A15" s="42" t="s">
        <v>91</v>
      </c>
      <c r="B15" s="40" t="s">
        <v>106</v>
      </c>
      <c r="C15" s="40" t="s">
        <v>122</v>
      </c>
      <c r="D15" s="40" t="s">
        <v>107</v>
      </c>
      <c r="E15" s="40" t="s">
        <v>112</v>
      </c>
      <c r="F15" s="40" t="s">
        <v>90</v>
      </c>
      <c r="G15" s="40"/>
      <c r="H15" s="40" t="s">
        <v>123</v>
      </c>
      <c r="I15" s="40">
        <v>280053</v>
      </c>
      <c r="J15" s="40"/>
      <c r="K15" s="40"/>
      <c r="L15" s="40"/>
      <c r="M15" s="40"/>
      <c r="N15" s="40"/>
      <c r="O15" s="81"/>
      <c r="P15" s="81"/>
      <c r="Q15" s="81"/>
      <c r="R15" s="81"/>
      <c r="S15" s="81"/>
      <c r="T15" s="81"/>
      <c r="U15" s="84"/>
      <c r="V15" s="125">
        <v>280053</v>
      </c>
      <c r="W15" s="125"/>
      <c r="X15" s="125"/>
      <c r="Y15" s="125"/>
      <c r="Z15" s="125"/>
      <c r="AA15" s="125"/>
      <c r="AB15" s="46"/>
      <c r="AC15" s="46"/>
      <c r="AD15" s="46"/>
      <c r="AE15" s="46"/>
      <c r="AF15"/>
      <c r="AG15"/>
      <c r="AH15"/>
      <c r="AI15"/>
      <c r="AJ15"/>
      <c r="AK15"/>
      <c r="AL15"/>
      <c r="AM15"/>
      <c r="AN15"/>
      <c r="AO15"/>
      <c r="AP15"/>
      <c r="AQ15"/>
      <c r="AR15"/>
    </row>
    <row r="16" spans="1:44">
      <c r="A16" s="42" t="s">
        <v>91</v>
      </c>
      <c r="B16" s="40" t="s">
        <v>86</v>
      </c>
      <c r="C16" s="40" t="s">
        <v>124</v>
      </c>
      <c r="D16" s="40" t="s">
        <v>112</v>
      </c>
      <c r="E16" s="40" t="s">
        <v>119</v>
      </c>
      <c r="F16" s="40" t="s">
        <v>94</v>
      </c>
      <c r="G16" s="40"/>
      <c r="H16" s="40" t="s">
        <v>125</v>
      </c>
      <c r="I16" s="40">
        <v>-113148</v>
      </c>
      <c r="J16" s="40"/>
      <c r="K16" s="40"/>
      <c r="L16" s="40"/>
      <c r="M16" s="40">
        <v>-113148</v>
      </c>
      <c r="N16" s="40"/>
      <c r="O16" s="81"/>
      <c r="P16" s="81"/>
      <c r="Q16" s="81"/>
      <c r="R16" s="81"/>
      <c r="S16" s="81"/>
      <c r="T16" s="81"/>
      <c r="U16" s="84"/>
      <c r="V16" s="125"/>
      <c r="W16" s="125"/>
      <c r="X16" s="125"/>
      <c r="Y16" s="125"/>
      <c r="Z16" s="125"/>
      <c r="AA16" s="125"/>
      <c r="AB16" s="46"/>
      <c r="AC16" s="46"/>
      <c r="AD16" s="46"/>
      <c r="AE16" s="46"/>
      <c r="AF16"/>
      <c r="AG16"/>
      <c r="AH16"/>
      <c r="AI16"/>
      <c r="AJ16"/>
      <c r="AK16"/>
      <c r="AL16"/>
      <c r="AM16"/>
      <c r="AN16"/>
      <c r="AO16"/>
      <c r="AP16"/>
      <c r="AQ16"/>
      <c r="AR16"/>
    </row>
    <row r="17" spans="1:44">
      <c r="A17" s="43" t="s">
        <v>90</v>
      </c>
      <c r="B17" s="44" t="s">
        <v>86</v>
      </c>
      <c r="C17" s="44" t="s">
        <v>126</v>
      </c>
      <c r="D17" s="44" t="s">
        <v>112</v>
      </c>
      <c r="E17" s="44" t="s">
        <v>88</v>
      </c>
      <c r="F17" s="44" t="s">
        <v>94</v>
      </c>
      <c r="G17" s="44" t="s">
        <v>127</v>
      </c>
      <c r="H17" s="44" t="s">
        <v>128</v>
      </c>
      <c r="I17" s="44">
        <v>-70069</v>
      </c>
      <c r="J17" s="44"/>
      <c r="K17" s="44"/>
      <c r="L17" s="44"/>
      <c r="M17" s="44">
        <v>-70069</v>
      </c>
      <c r="N17" s="44"/>
      <c r="O17" s="81"/>
      <c r="P17" s="81"/>
      <c r="Q17" s="81"/>
      <c r="R17" s="81"/>
      <c r="S17" s="81"/>
      <c r="T17" s="81"/>
      <c r="U17" s="84"/>
      <c r="V17" s="125"/>
      <c r="W17" s="125"/>
      <c r="X17" s="125"/>
      <c r="Y17" s="125"/>
      <c r="Z17" s="125"/>
      <c r="AA17" s="125"/>
      <c r="AB17" s="46"/>
      <c r="AC17" s="46"/>
      <c r="AD17" s="46"/>
      <c r="AE17" s="46"/>
      <c r="AF17"/>
      <c r="AG17"/>
      <c r="AH17"/>
      <c r="AI17"/>
      <c r="AJ17"/>
      <c r="AK17"/>
      <c r="AL17"/>
      <c r="AM17"/>
      <c r="AN17"/>
      <c r="AO17"/>
      <c r="AP17"/>
      <c r="AQ17"/>
      <c r="AR17"/>
    </row>
    <row r="18" spans="1:44">
      <c r="A18" s="52" t="s">
        <v>90</v>
      </c>
      <c r="B18" s="53" t="s">
        <v>86</v>
      </c>
      <c r="C18" s="53" t="s">
        <v>129</v>
      </c>
      <c r="D18" s="53" t="s">
        <v>112</v>
      </c>
      <c r="E18" s="53" t="s">
        <v>104</v>
      </c>
      <c r="F18" s="53" t="s">
        <v>94</v>
      </c>
      <c r="G18" s="53"/>
      <c r="H18" s="53" t="s">
        <v>130</v>
      </c>
      <c r="I18" s="53">
        <v>-633480</v>
      </c>
      <c r="J18" s="53"/>
      <c r="K18" s="53"/>
      <c r="L18" s="53"/>
      <c r="M18" s="53"/>
      <c r="N18" s="53"/>
      <c r="O18" s="81"/>
      <c r="P18" s="81"/>
      <c r="Q18" s="81"/>
      <c r="R18" s="81"/>
      <c r="S18" s="81"/>
      <c r="T18" s="81"/>
      <c r="U18" s="84"/>
      <c r="V18" s="125">
        <v>-633480</v>
      </c>
      <c r="W18" s="125"/>
      <c r="X18" s="125"/>
      <c r="Y18" s="125"/>
      <c r="Z18" s="125"/>
      <c r="AA18" s="125"/>
      <c r="AB18" s="46"/>
      <c r="AC18" s="46"/>
      <c r="AD18" s="46"/>
      <c r="AE18" s="46"/>
      <c r="AF18"/>
      <c r="AG18"/>
      <c r="AH18"/>
      <c r="AI18"/>
      <c r="AJ18"/>
      <c r="AK18"/>
      <c r="AL18"/>
      <c r="AM18"/>
      <c r="AN18"/>
      <c r="AO18"/>
      <c r="AP18"/>
      <c r="AQ18"/>
      <c r="AR18"/>
    </row>
    <row r="19" spans="1:44">
      <c r="A19" s="61" t="s">
        <v>90</v>
      </c>
      <c r="B19" s="63" t="s">
        <v>108</v>
      </c>
      <c r="C19" s="63" t="s">
        <v>122</v>
      </c>
      <c r="D19" s="63" t="s">
        <v>112</v>
      </c>
      <c r="E19" s="63" t="s">
        <v>107</v>
      </c>
      <c r="F19" s="63" t="s">
        <v>90</v>
      </c>
      <c r="G19" s="63"/>
      <c r="H19" s="63" t="s">
        <v>123</v>
      </c>
      <c r="I19" s="63">
        <v>-280053</v>
      </c>
      <c r="J19" s="63"/>
      <c r="K19" s="63"/>
      <c r="L19" s="63"/>
      <c r="M19" s="63"/>
      <c r="N19" s="63"/>
      <c r="O19" s="81"/>
      <c r="P19" s="81"/>
      <c r="Q19" s="81"/>
      <c r="R19" s="81"/>
      <c r="S19" s="81"/>
      <c r="T19" s="81"/>
      <c r="U19" s="84"/>
      <c r="V19" s="125">
        <v>-280053</v>
      </c>
      <c r="W19" s="125"/>
      <c r="X19" s="125"/>
      <c r="Y19" s="125"/>
      <c r="Z19" s="125"/>
      <c r="AA19" s="125"/>
      <c r="AB19" s="46"/>
      <c r="AC19" s="46"/>
      <c r="AD19" s="46"/>
      <c r="AE19" s="46"/>
      <c r="AJ19"/>
      <c r="AK19"/>
      <c r="AL19"/>
      <c r="AM19"/>
      <c r="AN19"/>
      <c r="AO19"/>
      <c r="AP19"/>
      <c r="AQ19"/>
      <c r="AR19"/>
    </row>
    <row r="20" spans="1:44">
      <c r="A20" s="62" t="s">
        <v>90</v>
      </c>
      <c r="B20" s="64" t="s">
        <v>108</v>
      </c>
      <c r="C20" s="64" t="s">
        <v>114</v>
      </c>
      <c r="D20" s="64" t="s">
        <v>112</v>
      </c>
      <c r="E20" s="64" t="s">
        <v>115</v>
      </c>
      <c r="F20" s="64"/>
      <c r="G20" s="64" t="s">
        <v>116</v>
      </c>
      <c r="H20" s="64" t="s">
        <v>131</v>
      </c>
      <c r="I20" s="64">
        <v>-127122</v>
      </c>
      <c r="J20" s="64"/>
      <c r="K20" s="64"/>
      <c r="L20" s="64"/>
      <c r="M20" s="64">
        <v>-127122</v>
      </c>
      <c r="N20" s="64"/>
      <c r="O20" s="81"/>
      <c r="P20" s="81"/>
      <c r="Q20" s="81"/>
      <c r="R20" s="81"/>
      <c r="S20" s="81"/>
      <c r="T20" s="81"/>
      <c r="U20" s="84"/>
      <c r="V20" s="125"/>
      <c r="W20" s="125"/>
      <c r="X20" s="125"/>
      <c r="Y20" s="125"/>
      <c r="Z20" s="125"/>
      <c r="AA20" s="125"/>
      <c r="AB20" s="46"/>
      <c r="AC20" s="46"/>
      <c r="AD20" s="46"/>
      <c r="AE20" s="46"/>
      <c r="AF20" s="47"/>
      <c r="AG20" s="47"/>
      <c r="AH20" s="47"/>
      <c r="AI20" s="47"/>
      <c r="AJ20"/>
      <c r="AK20"/>
      <c r="AL20"/>
      <c r="AM20"/>
      <c r="AN20"/>
      <c r="AO20"/>
      <c r="AP20"/>
      <c r="AQ20"/>
      <c r="AR20"/>
    </row>
    <row r="21" spans="1:44">
      <c r="A21" s="66" t="s">
        <v>94</v>
      </c>
      <c r="B21" s="67" t="s">
        <v>106</v>
      </c>
      <c r="C21" s="67" t="s">
        <v>132</v>
      </c>
      <c r="D21" s="67" t="s">
        <v>107</v>
      </c>
      <c r="E21" s="67" t="s">
        <v>112</v>
      </c>
      <c r="F21" s="67" t="s">
        <v>95</v>
      </c>
      <c r="G21" s="67" t="s">
        <v>109</v>
      </c>
      <c r="H21" s="67" t="s">
        <v>133</v>
      </c>
      <c r="I21" s="67">
        <v>151000</v>
      </c>
      <c r="J21" s="67"/>
      <c r="K21" s="67"/>
      <c r="L21" s="67"/>
      <c r="M21" s="67"/>
      <c r="N21" s="67"/>
      <c r="O21" s="81"/>
      <c r="P21" s="81"/>
      <c r="Q21" s="81"/>
      <c r="R21" s="81"/>
      <c r="S21" s="81"/>
      <c r="T21" s="81"/>
      <c r="U21" s="84"/>
      <c r="V21" s="125">
        <v>151000</v>
      </c>
      <c r="W21" s="125"/>
      <c r="X21" s="125"/>
      <c r="Y21" s="125"/>
      <c r="Z21" s="125"/>
      <c r="AA21" s="125"/>
      <c r="AB21" s="46"/>
      <c r="AC21" s="46"/>
      <c r="AD21" s="46"/>
      <c r="AE21" s="46"/>
      <c r="AJ21"/>
      <c r="AK21"/>
      <c r="AL21"/>
      <c r="AM21"/>
      <c r="AN21"/>
      <c r="AO21"/>
      <c r="AP21"/>
      <c r="AQ21"/>
      <c r="AR21"/>
    </row>
    <row r="22" spans="1:44">
      <c r="A22" s="68" t="s">
        <v>94</v>
      </c>
      <c r="B22" s="69" t="s">
        <v>86</v>
      </c>
      <c r="C22" s="69" t="s">
        <v>134</v>
      </c>
      <c r="D22" s="69" t="s">
        <v>112</v>
      </c>
      <c r="E22" s="69" t="s">
        <v>88</v>
      </c>
      <c r="F22" s="69" t="s">
        <v>95</v>
      </c>
      <c r="G22" s="69"/>
      <c r="H22" s="69" t="s">
        <v>128</v>
      </c>
      <c r="I22" s="69">
        <v>-132200</v>
      </c>
      <c r="J22" s="69"/>
      <c r="K22" s="69"/>
      <c r="L22" s="69"/>
      <c r="M22" s="69">
        <v>-132200</v>
      </c>
      <c r="N22" s="69"/>
      <c r="O22" s="81"/>
      <c r="P22" s="81"/>
      <c r="Q22" s="81"/>
      <c r="R22" s="81"/>
      <c r="S22" s="81"/>
      <c r="T22" s="81"/>
      <c r="U22" s="84"/>
      <c r="V22" s="125"/>
      <c r="W22" s="125"/>
      <c r="X22" s="125"/>
      <c r="Y22" s="125"/>
      <c r="Z22" s="125"/>
      <c r="AA22" s="125"/>
      <c r="AB22" s="46"/>
      <c r="AC22" s="46"/>
      <c r="AD22" s="46"/>
      <c r="AE22" s="46"/>
      <c r="AJ22"/>
      <c r="AK22"/>
      <c r="AL22"/>
      <c r="AM22"/>
      <c r="AN22"/>
      <c r="AO22"/>
      <c r="AP22"/>
      <c r="AQ22"/>
      <c r="AR22"/>
    </row>
    <row r="23" spans="1:44">
      <c r="A23" s="70" t="s">
        <v>94</v>
      </c>
      <c r="B23" s="72" t="s">
        <v>86</v>
      </c>
      <c r="C23" s="72" t="s">
        <v>135</v>
      </c>
      <c r="D23" s="72" t="s">
        <v>112</v>
      </c>
      <c r="E23" s="72" t="s">
        <v>88</v>
      </c>
      <c r="F23" s="72" t="s">
        <v>95</v>
      </c>
      <c r="G23" s="72"/>
      <c r="H23" s="72" t="s">
        <v>128</v>
      </c>
      <c r="I23" s="72">
        <v>-73889</v>
      </c>
      <c r="J23" s="72"/>
      <c r="K23" s="72"/>
      <c r="L23" s="72"/>
      <c r="M23" s="72">
        <v>-73889</v>
      </c>
      <c r="N23" s="72"/>
      <c r="O23" s="81"/>
      <c r="P23" s="81"/>
      <c r="Q23" s="81"/>
      <c r="R23" s="81"/>
      <c r="S23" s="81"/>
      <c r="T23" s="81"/>
      <c r="U23" s="84"/>
      <c r="V23" s="125"/>
      <c r="W23" s="125"/>
      <c r="X23" s="125"/>
      <c r="Y23" s="125"/>
      <c r="Z23" s="125"/>
      <c r="AA23" s="125"/>
      <c r="AB23" s="46"/>
      <c r="AC23" s="46"/>
      <c r="AD23" s="46"/>
      <c r="AE23" s="46"/>
      <c r="AJ23"/>
      <c r="AK23"/>
      <c r="AL23"/>
      <c r="AM23"/>
      <c r="AN23"/>
      <c r="AO23"/>
      <c r="AP23"/>
      <c r="AQ23"/>
      <c r="AR23"/>
    </row>
    <row r="24" spans="1:44">
      <c r="A24" s="71" t="s">
        <v>94</v>
      </c>
      <c r="B24" s="73" t="s">
        <v>86</v>
      </c>
      <c r="C24" s="73" t="s">
        <v>136</v>
      </c>
      <c r="D24" s="73" t="s">
        <v>112</v>
      </c>
      <c r="E24" s="73" t="s">
        <v>104</v>
      </c>
      <c r="F24" s="73" t="s">
        <v>137</v>
      </c>
      <c r="G24" s="73"/>
      <c r="H24" s="73" t="s">
        <v>130</v>
      </c>
      <c r="I24" s="73">
        <v>-196124</v>
      </c>
      <c r="J24" s="73"/>
      <c r="K24" s="73"/>
      <c r="L24" s="73"/>
      <c r="M24" s="73"/>
      <c r="N24" s="73"/>
      <c r="O24" s="81"/>
      <c r="P24" s="81"/>
      <c r="Q24" s="81"/>
      <c r="R24" s="81"/>
      <c r="S24" s="81"/>
      <c r="T24" s="81"/>
      <c r="U24" s="84"/>
      <c r="V24" s="125">
        <v>-196124</v>
      </c>
      <c r="W24" s="125"/>
      <c r="X24" s="125"/>
      <c r="Y24" s="125"/>
      <c r="Z24" s="125"/>
      <c r="AA24" s="125"/>
      <c r="AB24" s="46"/>
      <c r="AC24" s="46"/>
      <c r="AD24" s="46"/>
      <c r="AE24" s="46"/>
      <c r="AJ24"/>
      <c r="AK24"/>
      <c r="AL24"/>
      <c r="AM24"/>
      <c r="AN24"/>
      <c r="AO24"/>
      <c r="AP24"/>
      <c r="AQ24"/>
      <c r="AR24"/>
    </row>
    <row r="25" spans="1:44">
      <c r="A25" s="16" t="s">
        <v>94</v>
      </c>
      <c r="B25" s="16" t="s">
        <v>87</v>
      </c>
      <c r="C25" s="16" t="s">
        <v>124</v>
      </c>
      <c r="D25" s="16" t="s">
        <v>119</v>
      </c>
      <c r="E25" s="16" t="s">
        <v>112</v>
      </c>
      <c r="F25" s="16" t="s">
        <v>94</v>
      </c>
      <c r="H25" s="16" t="s">
        <v>125</v>
      </c>
      <c r="I25" s="16">
        <v>113148</v>
      </c>
      <c r="M25" s="16">
        <v>113148</v>
      </c>
      <c r="O25" s="82"/>
      <c r="P25" s="82"/>
      <c r="Q25" s="82"/>
      <c r="R25" s="82"/>
      <c r="S25" s="82"/>
      <c r="T25" s="82"/>
      <c r="U25" s="85"/>
      <c r="V25" s="126"/>
      <c r="W25" s="126"/>
      <c r="X25" s="126"/>
      <c r="Y25" s="126"/>
      <c r="Z25" s="126"/>
      <c r="AA25" s="126"/>
      <c r="AB25" s="46"/>
      <c r="AC25" s="46"/>
      <c r="AD25" s="46"/>
      <c r="AE25" s="46"/>
      <c r="AJ25"/>
      <c r="AK25"/>
      <c r="AL25"/>
      <c r="AM25"/>
      <c r="AN25"/>
      <c r="AO25"/>
      <c r="AP25"/>
      <c r="AQ25"/>
      <c r="AR25"/>
    </row>
    <row r="26" spans="1:44">
      <c r="A26" s="16" t="s">
        <v>94</v>
      </c>
      <c r="B26" s="16" t="s">
        <v>87</v>
      </c>
      <c r="C26" s="16" t="s">
        <v>126</v>
      </c>
      <c r="D26" s="16" t="s">
        <v>88</v>
      </c>
      <c r="E26" s="16" t="s">
        <v>112</v>
      </c>
      <c r="F26" s="16" t="s">
        <v>94</v>
      </c>
      <c r="G26" s="16" t="s">
        <v>127</v>
      </c>
      <c r="H26" s="16" t="s">
        <v>128</v>
      </c>
      <c r="I26" s="16">
        <v>70069</v>
      </c>
      <c r="M26" s="16">
        <v>70069</v>
      </c>
      <c r="O26" s="82"/>
      <c r="P26" s="82"/>
      <c r="Q26" s="82"/>
      <c r="R26" s="82"/>
      <c r="S26" s="82"/>
      <c r="T26" s="82"/>
      <c r="U26" s="85"/>
      <c r="V26" s="126"/>
      <c r="W26" s="126"/>
      <c r="X26" s="126"/>
      <c r="Y26" s="126"/>
      <c r="Z26" s="126"/>
      <c r="AA26" s="126"/>
      <c r="AB26" s="46"/>
      <c r="AC26" s="46"/>
      <c r="AD26" s="46"/>
      <c r="AE26" s="46"/>
      <c r="AJ26"/>
      <c r="AK26"/>
      <c r="AL26"/>
      <c r="AM26"/>
      <c r="AN26"/>
      <c r="AO26"/>
      <c r="AP26"/>
      <c r="AQ26"/>
      <c r="AR26"/>
    </row>
    <row r="27" spans="1:44">
      <c r="A27" s="16" t="s">
        <v>94</v>
      </c>
      <c r="B27" s="16" t="s">
        <v>87</v>
      </c>
      <c r="C27" s="16" t="s">
        <v>129</v>
      </c>
      <c r="D27" s="16" t="s">
        <v>104</v>
      </c>
      <c r="E27" s="16" t="s">
        <v>112</v>
      </c>
      <c r="F27" s="16" t="s">
        <v>94</v>
      </c>
      <c r="H27" s="16" t="s">
        <v>130</v>
      </c>
      <c r="I27" s="16">
        <v>633480</v>
      </c>
      <c r="O27" s="82"/>
      <c r="P27" s="82"/>
      <c r="Q27" s="82"/>
      <c r="R27" s="82"/>
      <c r="S27" s="82"/>
      <c r="T27" s="82"/>
      <c r="U27" s="85"/>
      <c r="V27" s="126">
        <v>633480</v>
      </c>
      <c r="W27" s="126"/>
      <c r="X27" s="126"/>
      <c r="Y27" s="126"/>
      <c r="Z27" s="126"/>
      <c r="AA27" s="126"/>
      <c r="AB27" s="46"/>
      <c r="AC27" s="46"/>
      <c r="AD27" s="46"/>
      <c r="AE27" s="46"/>
      <c r="AJ27"/>
      <c r="AK27"/>
      <c r="AL27"/>
      <c r="AM27"/>
      <c r="AN27"/>
      <c r="AO27"/>
      <c r="AP27"/>
      <c r="AQ27"/>
      <c r="AR27"/>
    </row>
    <row r="28" spans="1:44">
      <c r="A28" s="22" t="s">
        <v>94</v>
      </c>
      <c r="B28" s="22" t="s">
        <v>103</v>
      </c>
      <c r="C28" s="22" t="s">
        <v>138</v>
      </c>
      <c r="D28" s="22" t="s">
        <v>119</v>
      </c>
      <c r="E28" s="22" t="s">
        <v>112</v>
      </c>
      <c r="F28" s="22" t="s">
        <v>94</v>
      </c>
      <c r="G28" s="22" t="s">
        <v>139</v>
      </c>
      <c r="H28" s="22" t="s">
        <v>140</v>
      </c>
      <c r="I28" s="22">
        <v>20000</v>
      </c>
      <c r="J28" s="22"/>
      <c r="K28" s="22"/>
      <c r="L28" s="22"/>
      <c r="M28" s="22">
        <v>20000</v>
      </c>
      <c r="N28" s="22"/>
      <c r="O28" s="82"/>
      <c r="P28" s="82"/>
      <c r="Q28" s="82"/>
      <c r="R28" s="82"/>
      <c r="S28" s="82"/>
      <c r="T28" s="82"/>
      <c r="U28" s="85"/>
      <c r="V28" s="126"/>
      <c r="W28" s="126"/>
      <c r="X28" s="126"/>
      <c r="Y28" s="126"/>
      <c r="Z28" s="126"/>
      <c r="AA28" s="126"/>
      <c r="AB28" s="46"/>
      <c r="AC28" s="46"/>
      <c r="AD28" s="46"/>
      <c r="AE28" s="46"/>
      <c r="AJ28"/>
      <c r="AK28"/>
      <c r="AL28"/>
      <c r="AM28"/>
      <c r="AN28"/>
      <c r="AO28"/>
      <c r="AP28"/>
      <c r="AQ28"/>
      <c r="AR28"/>
    </row>
    <row r="29" spans="1:44">
      <c r="A29" s="16" t="s">
        <v>94</v>
      </c>
      <c r="B29" s="16" t="s">
        <v>103</v>
      </c>
      <c r="C29" s="16" t="s">
        <v>141</v>
      </c>
      <c r="D29" s="16" t="s">
        <v>104</v>
      </c>
      <c r="E29" s="16" t="s">
        <v>112</v>
      </c>
      <c r="F29" s="16" t="s">
        <v>94</v>
      </c>
      <c r="G29" s="16" t="s">
        <v>105</v>
      </c>
      <c r="H29" s="16" t="s">
        <v>142</v>
      </c>
      <c r="I29" s="16">
        <v>105000</v>
      </c>
      <c r="M29" s="16">
        <v>105000</v>
      </c>
      <c r="O29" s="82"/>
      <c r="P29" s="82"/>
      <c r="Q29" s="82"/>
      <c r="R29" s="82"/>
      <c r="S29" s="82"/>
      <c r="T29" s="82"/>
      <c r="U29" s="85"/>
      <c r="V29" s="126"/>
      <c r="W29" s="126"/>
      <c r="X29" s="126"/>
      <c r="Y29" s="126"/>
      <c r="Z29" s="126"/>
      <c r="AA29" s="126"/>
      <c r="AB29" s="46"/>
      <c r="AC29" s="46"/>
      <c r="AD29" s="46"/>
      <c r="AE29" s="46"/>
      <c r="AJ29"/>
      <c r="AK29"/>
      <c r="AL29"/>
      <c r="AM29"/>
      <c r="AN29"/>
      <c r="AO29"/>
      <c r="AP29"/>
      <c r="AQ29"/>
      <c r="AR29"/>
    </row>
    <row r="30" spans="1:44">
      <c r="A30" s="16" t="s">
        <v>94</v>
      </c>
      <c r="B30" s="16" t="s">
        <v>99</v>
      </c>
      <c r="C30" s="16" t="s">
        <v>143</v>
      </c>
      <c r="D30" s="16" t="s">
        <v>112</v>
      </c>
      <c r="E30" s="16" t="s">
        <v>88</v>
      </c>
      <c r="F30" s="16" t="s">
        <v>94</v>
      </c>
      <c r="G30" s="16" t="s">
        <v>144</v>
      </c>
      <c r="H30" s="16" t="s">
        <v>145</v>
      </c>
      <c r="I30" s="16">
        <v>-287704</v>
      </c>
      <c r="M30" s="16">
        <v>-287704</v>
      </c>
      <c r="O30" s="82"/>
      <c r="P30" s="82"/>
      <c r="Q30" s="82"/>
      <c r="R30" s="82"/>
      <c r="S30" s="82"/>
      <c r="T30" s="82"/>
      <c r="U30" s="85"/>
      <c r="V30" s="126"/>
      <c r="W30" s="126"/>
      <c r="X30" s="126"/>
      <c r="Y30" s="126"/>
      <c r="Z30" s="126"/>
      <c r="AA30" s="126"/>
      <c r="AB30" s="46"/>
      <c r="AC30" s="46"/>
      <c r="AD30" s="46"/>
      <c r="AE30" s="46"/>
      <c r="AJ30"/>
      <c r="AK30"/>
      <c r="AL30"/>
      <c r="AM30"/>
      <c r="AN30"/>
      <c r="AO30"/>
      <c r="AP30"/>
      <c r="AQ30"/>
      <c r="AR30"/>
    </row>
    <row r="31" spans="1:44">
      <c r="A31" s="16" t="s">
        <v>95</v>
      </c>
      <c r="B31" s="16" t="s">
        <v>87</v>
      </c>
      <c r="C31" s="16" t="s">
        <v>134</v>
      </c>
      <c r="D31" s="16" t="s">
        <v>88</v>
      </c>
      <c r="E31" s="16" t="s">
        <v>112</v>
      </c>
      <c r="F31" s="16" t="s">
        <v>95</v>
      </c>
      <c r="H31" s="16" t="s">
        <v>128</v>
      </c>
      <c r="I31" s="16">
        <v>132200</v>
      </c>
      <c r="M31" s="16">
        <v>132200</v>
      </c>
      <c r="O31" s="82"/>
      <c r="P31" s="82"/>
      <c r="Q31" s="82"/>
      <c r="R31" s="82"/>
      <c r="S31" s="82"/>
      <c r="T31" s="82"/>
      <c r="U31" s="85"/>
      <c r="V31" s="126"/>
      <c r="W31" s="126"/>
      <c r="X31" s="126"/>
      <c r="Y31" s="126"/>
      <c r="Z31" s="126"/>
      <c r="AA31" s="126"/>
      <c r="AB31" s="46"/>
      <c r="AC31" s="46"/>
      <c r="AD31" s="46"/>
      <c r="AE31" s="46"/>
      <c r="AJ31"/>
      <c r="AK31"/>
      <c r="AL31"/>
      <c r="AM31"/>
      <c r="AN31"/>
      <c r="AO31"/>
      <c r="AP31"/>
      <c r="AQ31"/>
      <c r="AR31"/>
    </row>
    <row r="32" spans="1:44">
      <c r="A32" s="16" t="s">
        <v>95</v>
      </c>
      <c r="B32" s="16" t="s">
        <v>87</v>
      </c>
      <c r="C32" s="16" t="s">
        <v>135</v>
      </c>
      <c r="D32" s="16" t="s">
        <v>88</v>
      </c>
      <c r="E32" s="16" t="s">
        <v>112</v>
      </c>
      <c r="F32" s="16" t="s">
        <v>95</v>
      </c>
      <c r="H32" s="16" t="s">
        <v>128</v>
      </c>
      <c r="I32" s="16">
        <v>73889</v>
      </c>
      <c r="M32" s="16">
        <v>73889</v>
      </c>
      <c r="O32" s="82"/>
      <c r="P32" s="82"/>
      <c r="Q32" s="82"/>
      <c r="R32" s="82"/>
      <c r="S32" s="82"/>
      <c r="T32" s="82"/>
      <c r="U32" s="85"/>
      <c r="V32" s="126"/>
      <c r="W32" s="126"/>
      <c r="X32" s="126"/>
      <c r="Y32" s="126"/>
      <c r="Z32" s="126"/>
      <c r="AA32" s="126"/>
      <c r="AB32" s="46"/>
      <c r="AC32" s="46"/>
      <c r="AD32" s="46"/>
      <c r="AE32" s="46"/>
      <c r="AJ32"/>
      <c r="AK32"/>
      <c r="AL32"/>
      <c r="AM32"/>
      <c r="AN32"/>
      <c r="AO32"/>
      <c r="AP32"/>
      <c r="AQ32"/>
      <c r="AR32"/>
    </row>
    <row r="33" spans="1:44">
      <c r="A33" s="16" t="s">
        <v>95</v>
      </c>
      <c r="B33" s="16" t="s">
        <v>87</v>
      </c>
      <c r="C33" s="16" t="s">
        <v>136</v>
      </c>
      <c r="D33" s="16" t="s">
        <v>104</v>
      </c>
      <c r="E33" s="16" t="s">
        <v>112</v>
      </c>
      <c r="F33" s="16" t="s">
        <v>95</v>
      </c>
      <c r="H33" s="16" t="s">
        <v>130</v>
      </c>
      <c r="I33" s="16">
        <v>25000</v>
      </c>
      <c r="O33" s="82"/>
      <c r="P33" s="82"/>
      <c r="Q33" s="82"/>
      <c r="R33" s="82"/>
      <c r="S33" s="82"/>
      <c r="T33" s="82"/>
      <c r="U33" s="85"/>
      <c r="V33" s="126">
        <v>25000</v>
      </c>
      <c r="W33" s="126"/>
      <c r="X33" s="126"/>
      <c r="Y33" s="126"/>
      <c r="Z33" s="126"/>
      <c r="AA33" s="126"/>
      <c r="AB33" s="46"/>
      <c r="AC33" s="46"/>
      <c r="AD33" s="46"/>
      <c r="AE33" s="46"/>
      <c r="AJ33"/>
      <c r="AK33"/>
      <c r="AL33"/>
      <c r="AM33"/>
      <c r="AN33"/>
      <c r="AO33"/>
      <c r="AP33"/>
      <c r="AQ33"/>
      <c r="AR33"/>
    </row>
    <row r="34" spans="1:44">
      <c r="A34" s="16" t="s">
        <v>95</v>
      </c>
      <c r="B34" s="16" t="s">
        <v>108</v>
      </c>
      <c r="C34" s="16" t="s">
        <v>132</v>
      </c>
      <c r="D34" s="16" t="s">
        <v>112</v>
      </c>
      <c r="E34" s="16" t="s">
        <v>107</v>
      </c>
      <c r="F34" s="16" t="s">
        <v>95</v>
      </c>
      <c r="G34" s="16" t="s">
        <v>109</v>
      </c>
      <c r="H34" s="16" t="s">
        <v>133</v>
      </c>
      <c r="I34" s="16">
        <v>-151000</v>
      </c>
      <c r="O34" s="82"/>
      <c r="P34" s="82"/>
      <c r="Q34" s="82"/>
      <c r="R34" s="82"/>
      <c r="S34" s="82"/>
      <c r="T34" s="82"/>
      <c r="U34" s="85"/>
      <c r="V34" s="126">
        <v>-151000</v>
      </c>
      <c r="W34" s="126"/>
      <c r="X34" s="126"/>
      <c r="Y34" s="126"/>
      <c r="Z34" s="126"/>
      <c r="AA34" s="126"/>
      <c r="AB34" s="46"/>
      <c r="AC34" s="46"/>
      <c r="AD34" s="46"/>
      <c r="AE34" s="46"/>
      <c r="AJ34"/>
      <c r="AK34"/>
      <c r="AL34"/>
      <c r="AM34"/>
      <c r="AN34"/>
      <c r="AO34"/>
      <c r="AP34"/>
      <c r="AQ34"/>
      <c r="AR34"/>
    </row>
    <row r="35" spans="1:44">
      <c r="A35" s="22" t="s">
        <v>95</v>
      </c>
      <c r="B35" s="22" t="s">
        <v>103</v>
      </c>
      <c r="C35" s="22" t="s">
        <v>162</v>
      </c>
      <c r="D35" s="22" t="s">
        <v>88</v>
      </c>
      <c r="E35" s="22" t="s">
        <v>112</v>
      </c>
      <c r="F35" s="22" t="s">
        <v>95</v>
      </c>
      <c r="G35" s="22" t="s">
        <v>163</v>
      </c>
      <c r="H35" s="22" t="s">
        <v>164</v>
      </c>
      <c r="I35" s="22">
        <v>105353</v>
      </c>
      <c r="J35" s="22"/>
      <c r="K35" s="22"/>
      <c r="L35" s="22"/>
      <c r="M35" s="22">
        <v>105353</v>
      </c>
      <c r="N35" s="22"/>
      <c r="O35" s="82"/>
      <c r="P35" s="82"/>
      <c r="Q35" s="82"/>
      <c r="R35" s="82"/>
      <c r="S35" s="82"/>
      <c r="T35" s="82"/>
      <c r="U35" s="85"/>
      <c r="V35" s="126"/>
      <c r="W35" s="126"/>
      <c r="X35" s="126"/>
      <c r="Y35" s="126"/>
      <c r="Z35" s="126"/>
      <c r="AA35" s="126"/>
      <c r="AB35" s="46"/>
      <c r="AC35" s="46"/>
      <c r="AD35" s="46"/>
      <c r="AE35" s="46"/>
      <c r="AJ35"/>
      <c r="AK35"/>
      <c r="AL35"/>
      <c r="AM35"/>
      <c r="AN35"/>
      <c r="AO35"/>
      <c r="AP35"/>
      <c r="AQ35"/>
      <c r="AR35"/>
    </row>
    <row r="36" spans="1:44">
      <c r="A36" s="22" t="s">
        <v>95</v>
      </c>
      <c r="B36" s="22" t="s">
        <v>103</v>
      </c>
      <c r="C36" s="22" t="s">
        <v>166</v>
      </c>
      <c r="D36" s="22" t="s">
        <v>88</v>
      </c>
      <c r="E36" s="22" t="s">
        <v>112</v>
      </c>
      <c r="F36" s="22" t="s">
        <v>95</v>
      </c>
      <c r="G36" s="22" t="s">
        <v>163</v>
      </c>
      <c r="H36" s="22" t="s">
        <v>164</v>
      </c>
      <c r="I36" s="22">
        <v>97311</v>
      </c>
      <c r="J36" s="22"/>
      <c r="K36" s="22"/>
      <c r="L36" s="22"/>
      <c r="M36" s="22">
        <v>97311</v>
      </c>
      <c r="N36" s="22"/>
      <c r="O36" s="82"/>
      <c r="P36" s="82"/>
      <c r="Q36" s="82"/>
      <c r="R36" s="82"/>
      <c r="S36" s="82"/>
      <c r="T36" s="82"/>
      <c r="U36" s="85"/>
      <c r="V36" s="126"/>
      <c r="W36" s="126"/>
      <c r="X36" s="126"/>
      <c r="Y36" s="126"/>
      <c r="Z36" s="126"/>
      <c r="AA36" s="126"/>
      <c r="AB36" s="46"/>
      <c r="AC36" s="46"/>
      <c r="AD36" s="46"/>
      <c r="AE36" s="46"/>
      <c r="AJ36"/>
      <c r="AK36"/>
      <c r="AL36"/>
      <c r="AM36"/>
      <c r="AN36"/>
      <c r="AO36"/>
      <c r="AP36"/>
      <c r="AQ36"/>
      <c r="AR36"/>
    </row>
    <row r="37" spans="1:44">
      <c r="A37" s="81" t="s">
        <v>95</v>
      </c>
      <c r="B37" s="81" t="s">
        <v>103</v>
      </c>
      <c r="C37" s="81" t="s">
        <v>167</v>
      </c>
      <c r="D37" s="81" t="s">
        <v>88</v>
      </c>
      <c r="E37" s="81" t="s">
        <v>112</v>
      </c>
      <c r="F37" s="81" t="s">
        <v>95</v>
      </c>
      <c r="G37" s="81" t="s">
        <v>150</v>
      </c>
      <c r="H37" s="81" t="s">
        <v>168</v>
      </c>
      <c r="I37" s="81">
        <v>125541</v>
      </c>
      <c r="J37" s="81"/>
      <c r="K37" s="81"/>
      <c r="L37" s="81">
        <v>125541</v>
      </c>
      <c r="M37" s="81"/>
      <c r="N37" s="81"/>
      <c r="O37" s="82"/>
      <c r="P37" s="82"/>
      <c r="Q37" s="82"/>
      <c r="R37" s="82"/>
      <c r="S37" s="82"/>
      <c r="T37" s="82"/>
      <c r="U37" s="85"/>
      <c r="V37" s="126"/>
      <c r="W37" s="126"/>
      <c r="X37" s="126"/>
      <c r="Y37" s="126"/>
      <c r="Z37" s="126"/>
      <c r="AA37" s="126"/>
      <c r="AF37" s="73"/>
      <c r="AH37" s="46"/>
      <c r="AI37" s="46"/>
      <c r="AJ37" s="46"/>
      <c r="AK37" s="46"/>
      <c r="AP37"/>
      <c r="AQ37"/>
      <c r="AR37"/>
    </row>
    <row r="38" spans="1:44">
      <c r="A38" s="89" t="s">
        <v>95</v>
      </c>
      <c r="B38" s="89" t="s">
        <v>103</v>
      </c>
      <c r="C38" s="89" t="s">
        <v>170</v>
      </c>
      <c r="D38" s="89" t="s">
        <v>88</v>
      </c>
      <c r="E38" s="89" t="s">
        <v>112</v>
      </c>
      <c r="F38" s="89" t="s">
        <v>95</v>
      </c>
      <c r="G38" s="89" t="s">
        <v>165</v>
      </c>
      <c r="H38" s="89" t="s">
        <v>168</v>
      </c>
      <c r="I38" s="89">
        <v>252000</v>
      </c>
      <c r="J38" s="89"/>
      <c r="K38" s="89"/>
      <c r="L38" s="89">
        <v>252000</v>
      </c>
      <c r="M38" s="89"/>
      <c r="N38" s="89"/>
      <c r="O38" s="87"/>
      <c r="P38" s="87"/>
      <c r="Q38" s="87"/>
      <c r="R38" s="87"/>
      <c r="S38" s="87"/>
      <c r="T38" s="87"/>
      <c r="U38" s="87"/>
      <c r="V38" s="126"/>
      <c r="W38" s="126"/>
      <c r="X38" s="126"/>
      <c r="Y38" s="126"/>
      <c r="Z38" s="126"/>
      <c r="AA38" s="126"/>
      <c r="AG38" s="73"/>
      <c r="AI38" s="46"/>
      <c r="AJ38" s="46"/>
      <c r="AK38" s="46"/>
      <c r="AL38" s="46"/>
      <c r="AQ38"/>
      <c r="AR38"/>
    </row>
    <row r="39" spans="1:44">
      <c r="A39" s="89" t="s">
        <v>95</v>
      </c>
      <c r="B39" s="89" t="s">
        <v>103</v>
      </c>
      <c r="C39" s="89" t="s">
        <v>155</v>
      </c>
      <c r="D39" s="89" t="s">
        <v>88</v>
      </c>
      <c r="E39" s="89" t="s">
        <v>112</v>
      </c>
      <c r="F39" s="89" t="s">
        <v>95</v>
      </c>
      <c r="G39" s="89" t="s">
        <v>156</v>
      </c>
      <c r="H39" s="89" t="s">
        <v>157</v>
      </c>
      <c r="I39" s="89">
        <v>357078.19</v>
      </c>
      <c r="J39" s="89"/>
      <c r="K39" s="89"/>
      <c r="L39" s="89"/>
      <c r="M39" s="89"/>
      <c r="N39" s="89"/>
      <c r="O39" s="87"/>
      <c r="P39" s="87"/>
      <c r="Q39" s="87"/>
      <c r="R39" s="87">
        <v>357078.19</v>
      </c>
      <c r="S39" s="87"/>
      <c r="T39" s="87"/>
      <c r="U39" s="87"/>
      <c r="V39" s="126"/>
      <c r="W39" s="126"/>
      <c r="X39" s="126"/>
      <c r="Y39" s="126"/>
      <c r="Z39" s="126"/>
      <c r="AA39" s="126"/>
      <c r="AG39" s="73"/>
      <c r="AI39" s="46"/>
      <c r="AJ39" s="46"/>
      <c r="AK39" s="46"/>
      <c r="AL39" s="46"/>
      <c r="AQ39"/>
      <c r="AR39"/>
    </row>
    <row r="40" spans="1:44">
      <c r="A40" s="89" t="s">
        <v>95</v>
      </c>
      <c r="B40" s="89" t="s">
        <v>99</v>
      </c>
      <c r="C40" s="89" t="s">
        <v>167</v>
      </c>
      <c r="D40" s="89" t="s">
        <v>112</v>
      </c>
      <c r="E40" s="89" t="s">
        <v>88</v>
      </c>
      <c r="F40" s="89" t="s">
        <v>95</v>
      </c>
      <c r="G40" s="89" t="s">
        <v>150</v>
      </c>
      <c r="H40" s="89" t="s">
        <v>169</v>
      </c>
      <c r="I40" s="89">
        <v>-139490</v>
      </c>
      <c r="J40" s="89"/>
      <c r="K40" s="89"/>
      <c r="L40" s="89"/>
      <c r="M40" s="89"/>
      <c r="N40" s="89"/>
      <c r="O40" s="87"/>
      <c r="P40" s="87"/>
      <c r="Q40" s="87"/>
      <c r="R40" s="87">
        <v>-139490</v>
      </c>
      <c r="S40" s="87"/>
      <c r="T40" s="87"/>
      <c r="U40" s="87"/>
      <c r="V40" s="126"/>
      <c r="W40" s="126"/>
      <c r="X40" s="126"/>
      <c r="Y40" s="126"/>
      <c r="Z40" s="126"/>
      <c r="AA40" s="126"/>
      <c r="AG40" s="73"/>
      <c r="AI40" s="46"/>
      <c r="AJ40" s="46"/>
      <c r="AK40" s="46"/>
      <c r="AL40" s="46"/>
      <c r="AQ40"/>
      <c r="AR40"/>
    </row>
    <row r="41" spans="1:44">
      <c r="A41" s="89" t="s">
        <v>95</v>
      </c>
      <c r="B41" s="89" t="s">
        <v>99</v>
      </c>
      <c r="C41" s="89" t="s">
        <v>170</v>
      </c>
      <c r="D41" s="89" t="s">
        <v>112</v>
      </c>
      <c r="E41" s="89" t="s">
        <v>88</v>
      </c>
      <c r="F41" s="89" t="s">
        <v>95</v>
      </c>
      <c r="G41" s="89" t="s">
        <v>165</v>
      </c>
      <c r="H41" s="89" t="s">
        <v>169</v>
      </c>
      <c r="I41" s="89">
        <v>-280000</v>
      </c>
      <c r="J41" s="89"/>
      <c r="K41" s="89"/>
      <c r="L41" s="89"/>
      <c r="M41" s="89"/>
      <c r="N41" s="89"/>
      <c r="O41" s="87"/>
      <c r="P41" s="87"/>
      <c r="Q41" s="87"/>
      <c r="R41" s="87">
        <v>-280000</v>
      </c>
      <c r="S41" s="87"/>
      <c r="T41" s="87"/>
      <c r="U41" s="87"/>
      <c r="V41" s="126"/>
      <c r="W41" s="126"/>
      <c r="X41" s="126"/>
      <c r="Y41" s="126"/>
      <c r="Z41" s="126"/>
      <c r="AA41" s="126"/>
      <c r="AG41" s="73"/>
      <c r="AI41" s="46"/>
      <c r="AJ41" s="46"/>
      <c r="AK41" s="46"/>
      <c r="AL41" s="46"/>
      <c r="AQ41"/>
      <c r="AR41"/>
    </row>
    <row r="42" spans="1:44">
      <c r="A42" s="16" t="s">
        <v>95</v>
      </c>
      <c r="B42" s="16" t="s">
        <v>99</v>
      </c>
      <c r="C42" s="16" t="s">
        <v>146</v>
      </c>
      <c r="D42" s="16" t="s">
        <v>112</v>
      </c>
      <c r="E42" s="16" t="s">
        <v>88</v>
      </c>
      <c r="F42" s="16" t="s">
        <v>95</v>
      </c>
      <c r="G42" s="16" t="s">
        <v>147</v>
      </c>
      <c r="H42" s="16" t="s">
        <v>145</v>
      </c>
      <c r="I42" s="16">
        <v>-492513</v>
      </c>
      <c r="M42" s="16">
        <v>-492513</v>
      </c>
      <c r="V42" s="126"/>
      <c r="W42" s="126"/>
      <c r="X42" s="126"/>
      <c r="Y42" s="126"/>
      <c r="Z42" s="126"/>
      <c r="AA42" s="126"/>
      <c r="AG42" s="73"/>
      <c r="AI42" s="46"/>
      <c r="AJ42" s="46"/>
      <c r="AK42" s="46"/>
      <c r="AL42" s="46"/>
      <c r="AQ42"/>
      <c r="AR42"/>
    </row>
    <row r="43" spans="1:44">
      <c r="A43" s="16" t="s">
        <v>95</v>
      </c>
      <c r="B43" s="16" t="s">
        <v>99</v>
      </c>
      <c r="C43" s="16" t="s">
        <v>171</v>
      </c>
      <c r="D43" s="16" t="s">
        <v>112</v>
      </c>
      <c r="E43" s="16" t="s">
        <v>88</v>
      </c>
      <c r="F43" s="16" t="s">
        <v>95</v>
      </c>
      <c r="G43" s="16" t="s">
        <v>172</v>
      </c>
      <c r="H43" s="16" t="s">
        <v>145</v>
      </c>
      <c r="I43" s="16">
        <v>-110154.04</v>
      </c>
      <c r="M43" s="16">
        <v>-110154.04</v>
      </c>
      <c r="V43" s="126"/>
      <c r="W43" s="126"/>
      <c r="X43" s="126"/>
      <c r="Y43" s="126"/>
      <c r="Z43" s="126"/>
      <c r="AA43" s="126"/>
      <c r="AG43" s="73"/>
      <c r="AI43" s="46"/>
      <c r="AJ43" s="46"/>
      <c r="AK43" s="46"/>
      <c r="AL43" s="46"/>
      <c r="AQ43"/>
      <c r="AR43"/>
    </row>
    <row r="44" spans="1:44">
      <c r="A44" s="16" t="s">
        <v>173</v>
      </c>
      <c r="B44" s="16" t="s">
        <v>86</v>
      </c>
      <c r="C44" s="16" t="s">
        <v>178</v>
      </c>
      <c r="D44" s="16" t="s">
        <v>112</v>
      </c>
      <c r="E44" s="16" t="s">
        <v>88</v>
      </c>
      <c r="F44" s="16" t="s">
        <v>148</v>
      </c>
      <c r="G44" s="16" t="s">
        <v>179</v>
      </c>
      <c r="H44" s="16" t="s">
        <v>180</v>
      </c>
      <c r="I44" s="16">
        <v>-156283</v>
      </c>
      <c r="R44" s="16">
        <v>-156283</v>
      </c>
      <c r="V44" s="126"/>
      <c r="W44" s="126"/>
      <c r="X44" s="126"/>
      <c r="Y44" s="126"/>
      <c r="Z44" s="126"/>
      <c r="AA44" s="126"/>
      <c r="AG44" s="73"/>
      <c r="AI44" s="46"/>
      <c r="AJ44" s="46"/>
      <c r="AK44" s="46"/>
      <c r="AL44" s="46"/>
      <c r="AQ44"/>
      <c r="AR44"/>
    </row>
    <row r="45" spans="1:44">
      <c r="A45" s="22" t="s">
        <v>173</v>
      </c>
      <c r="B45" s="22" t="s">
        <v>103</v>
      </c>
      <c r="C45" s="22" t="s">
        <v>176</v>
      </c>
      <c r="D45" s="22" t="s">
        <v>88</v>
      </c>
      <c r="E45" s="22" t="s">
        <v>112</v>
      </c>
      <c r="F45" s="22" t="s">
        <v>173</v>
      </c>
      <c r="G45" s="22" t="s">
        <v>175</v>
      </c>
      <c r="H45" s="22" t="s">
        <v>168</v>
      </c>
      <c r="I45" s="22">
        <v>351929</v>
      </c>
      <c r="J45" s="22"/>
      <c r="K45" s="22"/>
      <c r="L45" s="22">
        <v>351929</v>
      </c>
      <c r="M45" s="22"/>
      <c r="N45" s="22"/>
      <c r="V45" s="126"/>
      <c r="W45" s="126"/>
      <c r="X45" s="126"/>
      <c r="Y45" s="126"/>
      <c r="Z45" s="126"/>
      <c r="AA45" s="126"/>
      <c r="AG45" s="73"/>
      <c r="AI45" s="46"/>
      <c r="AJ45" s="46"/>
      <c r="AK45" s="46"/>
      <c r="AL45" s="46"/>
      <c r="AQ45"/>
      <c r="AR45"/>
    </row>
    <row r="46" spans="1:44">
      <c r="A46" s="90" t="s">
        <v>173</v>
      </c>
      <c r="B46" s="90" t="s">
        <v>103</v>
      </c>
      <c r="C46" s="90" t="s">
        <v>183</v>
      </c>
      <c r="D46" s="90" t="s">
        <v>88</v>
      </c>
      <c r="E46" s="90" t="s">
        <v>112</v>
      </c>
      <c r="F46" s="90" t="s">
        <v>173</v>
      </c>
      <c r="G46" s="90" t="s">
        <v>177</v>
      </c>
      <c r="H46" s="90" t="s">
        <v>168</v>
      </c>
      <c r="I46" s="90">
        <v>129600</v>
      </c>
      <c r="J46" s="90"/>
      <c r="K46" s="90"/>
      <c r="L46" s="90">
        <v>129600</v>
      </c>
      <c r="M46" s="90"/>
      <c r="N46" s="90"/>
      <c r="O46" s="88"/>
      <c r="P46" s="88"/>
      <c r="Q46" s="88"/>
      <c r="R46" s="88"/>
      <c r="S46" s="88"/>
      <c r="T46" s="88"/>
      <c r="U46" s="88"/>
      <c r="V46" s="126"/>
      <c r="W46" s="126"/>
      <c r="X46" s="126"/>
      <c r="Y46" s="126"/>
      <c r="Z46" s="126"/>
      <c r="AA46" s="126"/>
      <c r="AG46" s="73"/>
      <c r="AI46" s="46"/>
      <c r="AJ46" s="46"/>
      <c r="AK46" s="46"/>
      <c r="AL46" s="46"/>
      <c r="AQ46"/>
      <c r="AR46"/>
    </row>
    <row r="47" spans="1:44">
      <c r="A47" s="88" t="s">
        <v>173</v>
      </c>
      <c r="B47" s="88" t="s">
        <v>103</v>
      </c>
      <c r="C47" s="88" t="s">
        <v>171</v>
      </c>
      <c r="D47" s="88" t="s">
        <v>88</v>
      </c>
      <c r="E47" s="88" t="s">
        <v>112</v>
      </c>
      <c r="F47" s="88" t="s">
        <v>173</v>
      </c>
      <c r="G47" s="88" t="s">
        <v>172</v>
      </c>
      <c r="H47" s="88" t="s">
        <v>174</v>
      </c>
      <c r="I47" s="88">
        <v>110154.04</v>
      </c>
      <c r="J47" s="88"/>
      <c r="K47" s="88"/>
      <c r="L47" s="88"/>
      <c r="M47" s="88"/>
      <c r="N47" s="88"/>
      <c r="O47" s="88"/>
      <c r="P47" s="88"/>
      <c r="Q47" s="88"/>
      <c r="R47" s="88">
        <v>110154.04</v>
      </c>
      <c r="S47" s="88"/>
      <c r="T47" s="88"/>
      <c r="U47" s="88"/>
      <c r="V47" s="126"/>
      <c r="W47" s="126"/>
      <c r="X47" s="126"/>
      <c r="Y47" s="126"/>
      <c r="Z47" s="126"/>
      <c r="AA47" s="126"/>
      <c r="AG47" s="73"/>
      <c r="AI47" s="46"/>
      <c r="AJ47" s="46"/>
      <c r="AK47" s="46"/>
      <c r="AL47" s="46"/>
      <c r="AQ47"/>
      <c r="AR47"/>
    </row>
    <row r="48" spans="1:44">
      <c r="A48" s="22" t="s">
        <v>173</v>
      </c>
      <c r="B48" s="22" t="s">
        <v>99</v>
      </c>
      <c r="C48" s="22" t="s">
        <v>176</v>
      </c>
      <c r="D48" s="22" t="s">
        <v>112</v>
      </c>
      <c r="E48" s="22" t="s">
        <v>88</v>
      </c>
      <c r="F48" s="22" t="s">
        <v>173</v>
      </c>
      <c r="G48" s="22" t="s">
        <v>175</v>
      </c>
      <c r="H48" s="22" t="s">
        <v>169</v>
      </c>
      <c r="I48" s="22">
        <v>-391032</v>
      </c>
      <c r="J48" s="22"/>
      <c r="K48" s="22"/>
      <c r="L48" s="22"/>
      <c r="M48" s="22"/>
      <c r="N48" s="22"/>
      <c r="R48" s="16">
        <v>-391032</v>
      </c>
      <c r="V48" s="126"/>
      <c r="W48" s="126"/>
      <c r="X48" s="126"/>
      <c r="Y48" s="126"/>
      <c r="Z48" s="126"/>
      <c r="AA48" s="126"/>
      <c r="AG48" s="73"/>
      <c r="AI48" s="46"/>
      <c r="AJ48" s="46"/>
      <c r="AK48" s="46"/>
      <c r="AL48" s="46"/>
      <c r="AQ48"/>
      <c r="AR48"/>
    </row>
    <row r="49" spans="1:44">
      <c r="A49" s="22" t="s">
        <v>173</v>
      </c>
      <c r="B49" s="22" t="s">
        <v>99</v>
      </c>
      <c r="C49" s="22" t="s">
        <v>183</v>
      </c>
      <c r="D49" s="22" t="s">
        <v>112</v>
      </c>
      <c r="E49" s="22" t="s">
        <v>88</v>
      </c>
      <c r="F49" s="22" t="s">
        <v>173</v>
      </c>
      <c r="G49" s="22" t="s">
        <v>177</v>
      </c>
      <c r="H49" s="22" t="s">
        <v>168</v>
      </c>
      <c r="I49" s="22">
        <v>-144000</v>
      </c>
      <c r="J49" s="22"/>
      <c r="K49" s="22"/>
      <c r="L49" s="22"/>
      <c r="M49" s="22"/>
      <c r="N49" s="22"/>
      <c r="Q49" s="16">
        <v>-144000</v>
      </c>
      <c r="V49" s="126"/>
      <c r="W49" s="126"/>
      <c r="X49" s="126"/>
      <c r="Y49" s="126"/>
      <c r="Z49" s="126"/>
      <c r="AA49" s="126"/>
      <c r="AG49" s="73"/>
      <c r="AI49" s="46"/>
      <c r="AJ49" s="46"/>
      <c r="AK49" s="46"/>
      <c r="AL49" s="46"/>
      <c r="AQ49"/>
      <c r="AR49"/>
    </row>
    <row r="50" spans="1:44">
      <c r="A50" s="16" t="s">
        <v>148</v>
      </c>
      <c r="B50" s="16" t="s">
        <v>106</v>
      </c>
      <c r="C50" s="16" t="s">
        <v>181</v>
      </c>
      <c r="D50" s="16" t="s">
        <v>88</v>
      </c>
      <c r="E50" s="16" t="s">
        <v>112</v>
      </c>
      <c r="F50" s="16" t="s">
        <v>182</v>
      </c>
      <c r="G50" s="16" t="s">
        <v>179</v>
      </c>
      <c r="H50" s="16" t="s">
        <v>180</v>
      </c>
      <c r="I50" s="16">
        <v>287000</v>
      </c>
      <c r="R50" s="16">
        <v>287000</v>
      </c>
      <c r="V50" s="126"/>
      <c r="W50" s="126"/>
      <c r="X50" s="126"/>
      <c r="Y50" s="126"/>
      <c r="Z50" s="126"/>
      <c r="AA50" s="126"/>
      <c r="AG50" s="73"/>
      <c r="AI50" s="46"/>
      <c r="AJ50" s="46"/>
      <c r="AK50" s="46"/>
      <c r="AL50" s="46"/>
      <c r="AQ50"/>
      <c r="AR50"/>
    </row>
    <row r="51" spans="1:44">
      <c r="A51" s="16" t="s">
        <v>148</v>
      </c>
      <c r="B51" s="16" t="s">
        <v>86</v>
      </c>
      <c r="C51" s="16" t="s">
        <v>185</v>
      </c>
      <c r="D51" s="16" t="s">
        <v>112</v>
      </c>
      <c r="E51" s="16" t="s">
        <v>88</v>
      </c>
      <c r="F51" s="16" t="s">
        <v>186</v>
      </c>
      <c r="G51" s="16" t="s">
        <v>187</v>
      </c>
      <c r="H51" s="16" t="s">
        <v>128</v>
      </c>
      <c r="I51" s="16">
        <v>-28364.55</v>
      </c>
      <c r="M51" s="16">
        <v>-28364.55</v>
      </c>
      <c r="V51" s="126"/>
      <c r="W51" s="126"/>
      <c r="X51" s="126"/>
      <c r="Y51" s="126"/>
      <c r="Z51" s="126"/>
      <c r="AA51" s="126"/>
      <c r="AG51" s="73"/>
      <c r="AI51" s="46"/>
      <c r="AJ51" s="46"/>
      <c r="AK51" s="46"/>
      <c r="AL51" s="46"/>
      <c r="AQ51"/>
      <c r="AR51"/>
    </row>
    <row r="52" spans="1:44">
      <c r="A52" s="16" t="s">
        <v>148</v>
      </c>
      <c r="B52" s="16" t="s">
        <v>86</v>
      </c>
      <c r="C52" s="16" t="s">
        <v>185</v>
      </c>
      <c r="D52" s="16" t="s">
        <v>112</v>
      </c>
      <c r="E52" s="16" t="s">
        <v>88</v>
      </c>
      <c r="F52" s="16" t="s">
        <v>186</v>
      </c>
      <c r="G52" s="16" t="s">
        <v>184</v>
      </c>
      <c r="H52" s="16" t="s">
        <v>180</v>
      </c>
      <c r="I52" s="16">
        <v>-1195568</v>
      </c>
      <c r="R52" s="16">
        <v>-1195568</v>
      </c>
      <c r="V52" s="126"/>
      <c r="W52" s="126"/>
      <c r="X52" s="126"/>
      <c r="Y52" s="126"/>
      <c r="Z52" s="126"/>
      <c r="AA52" s="126"/>
      <c r="AG52" s="73"/>
      <c r="AI52" s="46"/>
      <c r="AJ52" s="46"/>
      <c r="AK52" s="46"/>
      <c r="AL52" s="46"/>
      <c r="AQ52"/>
      <c r="AR52"/>
    </row>
    <row r="53" spans="1:44">
      <c r="A53" s="16" t="s">
        <v>148</v>
      </c>
      <c r="B53" s="16" t="s">
        <v>87</v>
      </c>
      <c r="C53" s="16" t="s">
        <v>178</v>
      </c>
      <c r="D53" s="16" t="s">
        <v>88</v>
      </c>
      <c r="E53" s="16" t="s">
        <v>112</v>
      </c>
      <c r="F53" s="16" t="s">
        <v>148</v>
      </c>
      <c r="G53" s="16" t="s">
        <v>179</v>
      </c>
      <c r="H53" s="16" t="s">
        <v>180</v>
      </c>
      <c r="I53" s="16">
        <v>156283</v>
      </c>
      <c r="R53" s="16">
        <v>156283</v>
      </c>
      <c r="V53" s="126"/>
      <c r="W53" s="126"/>
      <c r="X53" s="126"/>
      <c r="Y53" s="126"/>
      <c r="Z53" s="126"/>
      <c r="AA53" s="126"/>
      <c r="AG53" s="73"/>
      <c r="AI53" s="46"/>
      <c r="AJ53" s="46"/>
      <c r="AK53" s="46"/>
      <c r="AL53" s="46"/>
      <c r="AQ53"/>
      <c r="AR53"/>
    </row>
    <row r="54" spans="1:44">
      <c r="A54" s="16" t="s">
        <v>148</v>
      </c>
      <c r="B54" s="16" t="s">
        <v>87</v>
      </c>
      <c r="C54" s="16" t="s">
        <v>136</v>
      </c>
      <c r="D54" s="16" t="s">
        <v>104</v>
      </c>
      <c r="E54" s="16" t="s">
        <v>112</v>
      </c>
      <c r="F54" s="16" t="s">
        <v>148</v>
      </c>
      <c r="H54" s="16" t="s">
        <v>130</v>
      </c>
      <c r="I54" s="16">
        <v>171124</v>
      </c>
      <c r="R54" s="16">
        <v>171124</v>
      </c>
      <c r="V54" s="126"/>
      <c r="W54" s="126"/>
      <c r="X54" s="126"/>
      <c r="Y54" s="126"/>
      <c r="Z54" s="126"/>
      <c r="AA54" s="126"/>
      <c r="AG54" s="73"/>
      <c r="AI54" s="46"/>
      <c r="AJ54" s="46"/>
      <c r="AK54" s="46"/>
      <c r="AL54" s="46"/>
      <c r="AQ54"/>
      <c r="AR54"/>
    </row>
    <row r="55" spans="1:44">
      <c r="A55" s="16" t="s">
        <v>186</v>
      </c>
      <c r="B55" s="16" t="s">
        <v>106</v>
      </c>
      <c r="C55" s="16" t="s">
        <v>188</v>
      </c>
      <c r="D55" s="16" t="s">
        <v>88</v>
      </c>
      <c r="E55" s="16" t="s">
        <v>112</v>
      </c>
      <c r="F55" s="16" t="s">
        <v>182</v>
      </c>
      <c r="G55" s="16" t="s">
        <v>189</v>
      </c>
      <c r="H55" s="16" t="s">
        <v>190</v>
      </c>
      <c r="I55" s="16">
        <v>98062</v>
      </c>
      <c r="Q55" s="16">
        <v>98062</v>
      </c>
      <c r="V55" s="126"/>
      <c r="W55" s="126"/>
      <c r="X55" s="126"/>
      <c r="Y55" s="126"/>
      <c r="Z55" s="126"/>
      <c r="AA55" s="126"/>
      <c r="AG55" s="73"/>
      <c r="AI55" s="46"/>
      <c r="AJ55" s="46"/>
      <c r="AK55" s="46"/>
      <c r="AL55" s="46"/>
      <c r="AQ55"/>
      <c r="AR55"/>
    </row>
    <row r="56" spans="1:44">
      <c r="A56" s="16" t="s">
        <v>186</v>
      </c>
      <c r="B56" s="16" t="s">
        <v>86</v>
      </c>
      <c r="C56" s="16" t="s">
        <v>191</v>
      </c>
      <c r="D56" s="16" t="s">
        <v>112</v>
      </c>
      <c r="E56" s="16" t="s">
        <v>88</v>
      </c>
      <c r="F56" s="16" t="s">
        <v>182</v>
      </c>
      <c r="G56" s="16" t="s">
        <v>192</v>
      </c>
      <c r="H56" s="16" t="s">
        <v>128</v>
      </c>
      <c r="I56" s="16">
        <v>-46709.63</v>
      </c>
      <c r="M56" s="16">
        <v>-46709.63</v>
      </c>
      <c r="V56" s="126"/>
      <c r="W56" s="126"/>
      <c r="X56" s="126"/>
      <c r="Y56" s="126"/>
      <c r="Z56" s="126"/>
      <c r="AA56" s="126"/>
      <c r="AG56" s="73"/>
      <c r="AI56" s="46"/>
      <c r="AJ56" s="46"/>
      <c r="AK56" s="46"/>
      <c r="AL56" s="46"/>
      <c r="AQ56"/>
      <c r="AR56"/>
    </row>
    <row r="57" spans="1:44">
      <c r="A57" s="16" t="s">
        <v>186</v>
      </c>
      <c r="B57" s="16" t="s">
        <v>87</v>
      </c>
      <c r="C57" s="16" t="s">
        <v>185</v>
      </c>
      <c r="D57" s="16" t="s">
        <v>88</v>
      </c>
      <c r="E57" s="16" t="s">
        <v>112</v>
      </c>
      <c r="F57" s="16" t="s">
        <v>186</v>
      </c>
      <c r="G57" s="16" t="s">
        <v>187</v>
      </c>
      <c r="H57" s="16" t="s">
        <v>128</v>
      </c>
      <c r="I57" s="16">
        <v>28364.55</v>
      </c>
      <c r="M57" s="16">
        <v>28364.55</v>
      </c>
      <c r="V57" s="126"/>
      <c r="W57" s="126"/>
      <c r="X57" s="126"/>
      <c r="Y57" s="126"/>
      <c r="Z57" s="126"/>
      <c r="AA57" s="126"/>
      <c r="AG57" s="73"/>
      <c r="AI57" s="46"/>
      <c r="AJ57" s="46"/>
      <c r="AK57" s="46"/>
      <c r="AL57" s="46"/>
      <c r="AQ57"/>
      <c r="AR57"/>
    </row>
    <row r="58" spans="1:44">
      <c r="A58" s="16" t="s">
        <v>186</v>
      </c>
      <c r="B58" s="16" t="s">
        <v>87</v>
      </c>
      <c r="C58" s="16" t="s">
        <v>185</v>
      </c>
      <c r="D58" s="16" t="s">
        <v>88</v>
      </c>
      <c r="E58" s="16" t="s">
        <v>112</v>
      </c>
      <c r="F58" s="16" t="s">
        <v>186</v>
      </c>
      <c r="G58" s="16" t="s">
        <v>184</v>
      </c>
      <c r="H58" s="16" t="s">
        <v>180</v>
      </c>
      <c r="I58" s="16">
        <v>1195568</v>
      </c>
      <c r="R58" s="16">
        <v>1195568</v>
      </c>
      <c r="V58" s="126"/>
      <c r="W58" s="126"/>
      <c r="X58" s="126"/>
      <c r="Y58" s="126"/>
      <c r="Z58" s="126"/>
      <c r="AA58" s="126"/>
      <c r="AG58" s="73"/>
      <c r="AI58" s="46"/>
      <c r="AJ58" s="46"/>
      <c r="AK58" s="46"/>
      <c r="AL58" s="46"/>
      <c r="AQ58"/>
      <c r="AR58"/>
    </row>
    <row r="59" spans="1:44">
      <c r="A59" s="16" t="s">
        <v>186</v>
      </c>
      <c r="B59" s="16" t="s">
        <v>103</v>
      </c>
      <c r="C59" s="16" t="s">
        <v>193</v>
      </c>
      <c r="D59" s="16" t="s">
        <v>88</v>
      </c>
      <c r="E59" s="16" t="s">
        <v>112</v>
      </c>
      <c r="F59" s="16" t="s">
        <v>186</v>
      </c>
      <c r="G59" s="16" t="s">
        <v>194</v>
      </c>
      <c r="H59" s="16" t="s">
        <v>168</v>
      </c>
      <c r="I59" s="16">
        <v>465113</v>
      </c>
      <c r="L59" s="16">
        <v>465113</v>
      </c>
      <c r="V59" s="126"/>
      <c r="W59" s="126"/>
      <c r="X59" s="126"/>
      <c r="Y59" s="126"/>
      <c r="Z59" s="126"/>
      <c r="AA59" s="126"/>
      <c r="AG59" s="73"/>
      <c r="AI59" s="46"/>
      <c r="AJ59" s="46"/>
      <c r="AK59" s="46"/>
      <c r="AL59" s="46"/>
      <c r="AQ59"/>
      <c r="AR59"/>
    </row>
    <row r="60" spans="1:44">
      <c r="A60" s="16" t="s">
        <v>186</v>
      </c>
      <c r="B60" s="16" t="s">
        <v>103</v>
      </c>
      <c r="C60" s="16" t="s">
        <v>195</v>
      </c>
      <c r="D60" s="16" t="s">
        <v>88</v>
      </c>
      <c r="E60" s="16" t="s">
        <v>112</v>
      </c>
      <c r="F60" s="16" t="s">
        <v>186</v>
      </c>
      <c r="G60" s="16" t="s">
        <v>184</v>
      </c>
      <c r="H60" s="16" t="s">
        <v>168</v>
      </c>
      <c r="I60" s="16">
        <v>1125000</v>
      </c>
      <c r="L60" s="16">
        <v>1125000</v>
      </c>
      <c r="V60" s="126"/>
      <c r="W60" s="126"/>
      <c r="X60" s="126"/>
      <c r="Y60" s="126"/>
      <c r="Z60" s="126"/>
      <c r="AA60" s="126"/>
      <c r="AG60" s="73"/>
      <c r="AI60" s="46"/>
      <c r="AJ60" s="46"/>
      <c r="AK60" s="46"/>
      <c r="AL60" s="46"/>
      <c r="AQ60"/>
      <c r="AR60"/>
    </row>
    <row r="61" spans="1:44">
      <c r="A61" s="16" t="s">
        <v>186</v>
      </c>
      <c r="B61" s="16" t="s">
        <v>99</v>
      </c>
      <c r="C61" s="16" t="s">
        <v>193</v>
      </c>
      <c r="D61" s="16" t="s">
        <v>112</v>
      </c>
      <c r="E61" s="16" t="s">
        <v>88</v>
      </c>
      <c r="F61" s="16" t="s">
        <v>186</v>
      </c>
      <c r="G61" s="16" t="s">
        <v>194</v>
      </c>
      <c r="H61" s="16" t="s">
        <v>168</v>
      </c>
      <c r="I61" s="16">
        <v>-516792</v>
      </c>
      <c r="Q61" s="16">
        <v>-516792</v>
      </c>
      <c r="V61" s="126"/>
      <c r="W61" s="126"/>
      <c r="X61" s="126"/>
      <c r="Y61" s="126"/>
      <c r="Z61" s="126"/>
      <c r="AA61" s="126"/>
      <c r="AG61" s="73"/>
      <c r="AI61" s="46"/>
      <c r="AJ61" s="46"/>
      <c r="AK61" s="46"/>
      <c r="AL61" s="46"/>
      <c r="AQ61"/>
      <c r="AR61"/>
    </row>
    <row r="62" spans="1:44">
      <c r="A62" s="16" t="s">
        <v>186</v>
      </c>
      <c r="B62" s="16" t="s">
        <v>99</v>
      </c>
      <c r="C62" s="16" t="s">
        <v>195</v>
      </c>
      <c r="D62" s="16" t="s">
        <v>112</v>
      </c>
      <c r="E62" s="16" t="s">
        <v>88</v>
      </c>
      <c r="F62" s="16" t="s">
        <v>186</v>
      </c>
      <c r="G62" s="16" t="s">
        <v>184</v>
      </c>
      <c r="H62" s="16" t="s">
        <v>169</v>
      </c>
      <c r="I62" s="16">
        <v>-1250000</v>
      </c>
      <c r="R62" s="16">
        <v>-1250000</v>
      </c>
      <c r="V62" s="126"/>
      <c r="W62" s="126"/>
      <c r="X62" s="126"/>
      <c r="Y62" s="126"/>
      <c r="Z62" s="126"/>
      <c r="AA62" s="126"/>
      <c r="AG62" s="73"/>
      <c r="AI62" s="46"/>
      <c r="AJ62" s="46"/>
      <c r="AK62" s="46"/>
      <c r="AL62" s="46"/>
      <c r="AQ62"/>
      <c r="AR62"/>
    </row>
    <row r="63" spans="1:44">
      <c r="A63" s="16" t="s">
        <v>182</v>
      </c>
      <c r="B63" s="16" t="s">
        <v>86</v>
      </c>
      <c r="C63" s="16" t="s">
        <v>240</v>
      </c>
      <c r="D63" s="16" t="s">
        <v>112</v>
      </c>
      <c r="E63" s="16" t="s">
        <v>88</v>
      </c>
      <c r="F63" s="16" t="s">
        <v>196</v>
      </c>
      <c r="G63" s="16" t="s">
        <v>239</v>
      </c>
      <c r="H63" s="16" t="s">
        <v>128</v>
      </c>
      <c r="I63" s="16">
        <v>-59871.24</v>
      </c>
      <c r="M63" s="16">
        <v>-59871.24</v>
      </c>
      <c r="V63" s="126"/>
      <c r="W63" s="126"/>
      <c r="X63" s="126"/>
      <c r="Y63" s="126"/>
      <c r="Z63" s="126"/>
      <c r="AA63" s="126"/>
      <c r="AG63" s="73"/>
      <c r="AI63" s="46"/>
      <c r="AJ63" s="46"/>
      <c r="AK63" s="46"/>
      <c r="AL63" s="46"/>
      <c r="AQ63"/>
      <c r="AR63"/>
    </row>
    <row r="64" spans="1:44">
      <c r="A64" s="91" t="s">
        <v>182</v>
      </c>
      <c r="B64" s="91" t="s">
        <v>86</v>
      </c>
      <c r="C64" s="91" t="s">
        <v>241</v>
      </c>
      <c r="D64" s="91" t="s">
        <v>112</v>
      </c>
      <c r="E64" s="91" t="s">
        <v>88</v>
      </c>
      <c r="F64" s="91" t="s">
        <v>196</v>
      </c>
      <c r="G64" s="91" t="s">
        <v>235</v>
      </c>
      <c r="H64" s="91" t="s">
        <v>236</v>
      </c>
      <c r="I64" s="91">
        <v>-111679</v>
      </c>
      <c r="J64" s="91"/>
      <c r="K64" s="91"/>
      <c r="L64" s="91"/>
      <c r="M64" s="91"/>
      <c r="N64" s="91"/>
      <c r="O64" s="91"/>
      <c r="P64" s="91"/>
      <c r="Q64" s="91"/>
      <c r="R64" s="91"/>
      <c r="S64" s="91"/>
      <c r="T64" s="91"/>
      <c r="U64" s="91">
        <v>-111679</v>
      </c>
      <c r="V64" s="126"/>
      <c r="W64" s="126"/>
      <c r="X64" s="126"/>
      <c r="Y64" s="126"/>
      <c r="Z64" s="126"/>
      <c r="AA64" s="126"/>
      <c r="AG64" s="73"/>
      <c r="AI64" s="46"/>
      <c r="AJ64" s="46"/>
      <c r="AK64" s="46"/>
      <c r="AL64" s="46"/>
      <c r="AQ64"/>
      <c r="AR64"/>
    </row>
    <row r="65" spans="1:44">
      <c r="A65" s="91" t="s">
        <v>182</v>
      </c>
      <c r="B65" s="91" t="s">
        <v>86</v>
      </c>
      <c r="C65" s="91" t="s">
        <v>241</v>
      </c>
      <c r="D65" s="91" t="s">
        <v>112</v>
      </c>
      <c r="E65" s="91" t="s">
        <v>88</v>
      </c>
      <c r="F65" s="91" t="s">
        <v>196</v>
      </c>
      <c r="G65" s="91" t="s">
        <v>242</v>
      </c>
      <c r="H65" s="91" t="s">
        <v>180</v>
      </c>
      <c r="I65" s="91">
        <v>-36814.28</v>
      </c>
      <c r="J65" s="91"/>
      <c r="K65" s="91"/>
      <c r="L65" s="91"/>
      <c r="M65" s="91"/>
      <c r="N65" s="91"/>
      <c r="O65" s="91"/>
      <c r="P65" s="91"/>
      <c r="Q65" s="91"/>
      <c r="R65" s="91"/>
      <c r="S65" s="91"/>
      <c r="T65" s="91">
        <v>-36814.28</v>
      </c>
      <c r="U65" s="91"/>
      <c r="V65" s="126"/>
      <c r="W65" s="126"/>
      <c r="X65" s="126"/>
      <c r="Y65" s="126"/>
      <c r="Z65" s="126"/>
      <c r="AA65" s="126"/>
      <c r="AG65" s="73"/>
      <c r="AI65" s="46"/>
      <c r="AJ65" s="46"/>
      <c r="AK65" s="46"/>
      <c r="AL65" s="46"/>
      <c r="AQ65"/>
      <c r="AR65"/>
    </row>
    <row r="66" spans="1:44">
      <c r="A66" s="91" t="s">
        <v>182</v>
      </c>
      <c r="B66" s="91" t="s">
        <v>87</v>
      </c>
      <c r="C66" s="91" t="s">
        <v>191</v>
      </c>
      <c r="D66" s="91" t="s">
        <v>88</v>
      </c>
      <c r="E66" s="91" t="s">
        <v>112</v>
      </c>
      <c r="F66" s="91" t="s">
        <v>182</v>
      </c>
      <c r="G66" s="91" t="s">
        <v>192</v>
      </c>
      <c r="H66" s="91" t="s">
        <v>128</v>
      </c>
      <c r="I66" s="91">
        <v>46709.63</v>
      </c>
      <c r="J66" s="91"/>
      <c r="K66" s="91"/>
      <c r="L66" s="91"/>
      <c r="M66" s="91"/>
      <c r="N66" s="91"/>
      <c r="O66" s="91"/>
      <c r="P66" s="91"/>
      <c r="Q66" s="91"/>
      <c r="R66" s="91"/>
      <c r="S66" s="91"/>
      <c r="T66" s="91"/>
      <c r="U66" s="91"/>
      <c r="V66" s="126">
        <v>46709.63</v>
      </c>
      <c r="W66" s="126"/>
      <c r="X66" s="126"/>
      <c r="Y66" s="126"/>
      <c r="Z66" s="126"/>
      <c r="AA66" s="126"/>
      <c r="AG66" s="73"/>
      <c r="AI66" s="46"/>
      <c r="AJ66" s="46"/>
      <c r="AK66" s="46"/>
      <c r="AL66" s="46"/>
      <c r="AQ66"/>
      <c r="AR66"/>
    </row>
    <row r="67" spans="1:44">
      <c r="A67" s="91" t="s">
        <v>182</v>
      </c>
      <c r="B67" s="91" t="s">
        <v>108</v>
      </c>
      <c r="C67" s="91" t="s">
        <v>188</v>
      </c>
      <c r="D67" s="91" t="s">
        <v>112</v>
      </c>
      <c r="E67" s="91" t="s">
        <v>88</v>
      </c>
      <c r="F67" s="91" t="s">
        <v>182</v>
      </c>
      <c r="G67" s="91" t="s">
        <v>189</v>
      </c>
      <c r="H67" s="91" t="s">
        <v>190</v>
      </c>
      <c r="I67" s="91">
        <v>-98062</v>
      </c>
      <c r="J67" s="91"/>
      <c r="K67" s="91"/>
      <c r="L67" s="91"/>
      <c r="M67" s="91"/>
      <c r="N67" s="91"/>
      <c r="O67" s="91"/>
      <c r="P67" s="91"/>
      <c r="Q67" s="91">
        <v>-98062</v>
      </c>
      <c r="R67" s="91"/>
      <c r="S67" s="91"/>
      <c r="T67" s="91"/>
      <c r="U67" s="91"/>
      <c r="V67" s="126"/>
      <c r="W67" s="126"/>
      <c r="X67" s="126"/>
      <c r="Y67" s="126"/>
      <c r="Z67" s="126"/>
      <c r="AA67" s="126"/>
      <c r="AG67" s="73"/>
      <c r="AI67" s="46"/>
      <c r="AJ67" s="46"/>
      <c r="AK67" s="46"/>
      <c r="AL67" s="46"/>
      <c r="AQ67"/>
      <c r="AR67"/>
    </row>
    <row r="68" spans="1:44">
      <c r="A68" s="91" t="s">
        <v>182</v>
      </c>
      <c r="B68" s="91" t="s">
        <v>108</v>
      </c>
      <c r="C68" s="91" t="s">
        <v>181</v>
      </c>
      <c r="D68" s="91" t="s">
        <v>112</v>
      </c>
      <c r="E68" s="91" t="s">
        <v>88</v>
      </c>
      <c r="F68" s="91" t="s">
        <v>182</v>
      </c>
      <c r="G68" s="91" t="s">
        <v>179</v>
      </c>
      <c r="H68" s="91" t="s">
        <v>180</v>
      </c>
      <c r="I68" s="91">
        <v>-287000</v>
      </c>
      <c r="J68" s="91"/>
      <c r="K68" s="91"/>
      <c r="L68" s="91"/>
      <c r="M68" s="91"/>
      <c r="N68" s="91"/>
      <c r="O68" s="91"/>
      <c r="P68" s="91"/>
      <c r="Q68" s="91"/>
      <c r="R68" s="91">
        <v>-287000</v>
      </c>
      <c r="S68" s="91"/>
      <c r="T68" s="91"/>
      <c r="U68" s="91"/>
      <c r="V68" s="126"/>
      <c r="W68" s="126"/>
      <c r="X68" s="126"/>
      <c r="Y68" s="126"/>
      <c r="Z68" s="126"/>
      <c r="AA68" s="126"/>
      <c r="AG68" s="73"/>
      <c r="AI68" s="46"/>
      <c r="AJ68" s="46"/>
      <c r="AK68" s="46"/>
      <c r="AL68" s="46"/>
      <c r="AQ68"/>
      <c r="AR68"/>
    </row>
    <row r="69" spans="1:44">
      <c r="A69" s="16" t="s">
        <v>182</v>
      </c>
      <c r="B69" s="16" t="s">
        <v>103</v>
      </c>
      <c r="C69" s="16" t="s">
        <v>237</v>
      </c>
      <c r="D69" s="16" t="s">
        <v>88</v>
      </c>
      <c r="E69" s="16" t="s">
        <v>112</v>
      </c>
      <c r="F69" s="16" t="s">
        <v>182</v>
      </c>
      <c r="G69" s="16" t="s">
        <v>219</v>
      </c>
      <c r="H69" s="16" t="s">
        <v>168</v>
      </c>
      <c r="I69" s="16">
        <v>144000</v>
      </c>
      <c r="L69" s="16">
        <v>144000</v>
      </c>
      <c r="AG69" s="73"/>
      <c r="AI69" s="46"/>
      <c r="AJ69" s="46"/>
      <c r="AK69" s="46"/>
      <c r="AL69" s="46"/>
      <c r="AQ69"/>
      <c r="AR69"/>
    </row>
    <row r="70" spans="1:44">
      <c r="A70" s="16" t="s">
        <v>182</v>
      </c>
      <c r="B70" s="16" t="s">
        <v>99</v>
      </c>
      <c r="C70" s="16" t="s">
        <v>237</v>
      </c>
      <c r="D70" s="16" t="s">
        <v>112</v>
      </c>
      <c r="E70" s="16" t="s">
        <v>88</v>
      </c>
      <c r="F70" s="16" t="s">
        <v>182</v>
      </c>
      <c r="G70" s="16" t="s">
        <v>219</v>
      </c>
      <c r="H70" s="16" t="s">
        <v>238</v>
      </c>
      <c r="I70" s="16">
        <v>-160000</v>
      </c>
      <c r="S70" s="16">
        <v>-160000</v>
      </c>
      <c r="AG70" s="73"/>
      <c r="AI70" s="46"/>
      <c r="AJ70" s="46"/>
      <c r="AK70" s="46"/>
      <c r="AL70" s="46"/>
      <c r="AQ70"/>
      <c r="AR70"/>
    </row>
    <row r="71" spans="1:44">
      <c r="A71" s="16" t="s">
        <v>196</v>
      </c>
      <c r="B71" s="16" t="s">
        <v>106</v>
      </c>
      <c r="C71" s="16" t="s">
        <v>197</v>
      </c>
      <c r="D71" s="16" t="s">
        <v>88</v>
      </c>
      <c r="E71" s="16" t="s">
        <v>112</v>
      </c>
      <c r="F71" s="16" t="s">
        <v>198</v>
      </c>
      <c r="G71" s="16" t="s">
        <v>199</v>
      </c>
      <c r="H71" s="16" t="s">
        <v>200</v>
      </c>
      <c r="I71" s="16">
        <v>892000</v>
      </c>
      <c r="Q71" s="16">
        <v>892000</v>
      </c>
      <c r="AG71" s="73"/>
      <c r="AI71" s="46"/>
      <c r="AJ71" s="46"/>
      <c r="AK71" s="46"/>
      <c r="AL71" s="46"/>
      <c r="AQ71"/>
      <c r="AR71"/>
    </row>
    <row r="72" spans="1:44">
      <c r="A72" s="16" t="s">
        <v>196</v>
      </c>
      <c r="B72" s="16" t="s">
        <v>106</v>
      </c>
      <c r="C72" s="16" t="s">
        <v>248</v>
      </c>
      <c r="D72" s="16" t="s">
        <v>88</v>
      </c>
      <c r="E72" s="16" t="s">
        <v>112</v>
      </c>
      <c r="F72" s="16" t="s">
        <v>201</v>
      </c>
      <c r="G72" s="16" t="s">
        <v>249</v>
      </c>
      <c r="H72" s="16" t="s">
        <v>250</v>
      </c>
      <c r="I72" s="16">
        <v>38720.400000000001</v>
      </c>
      <c r="S72" s="16">
        <v>38720.400000000001</v>
      </c>
      <c r="AG72" s="73"/>
      <c r="AI72" s="46"/>
      <c r="AJ72" s="46"/>
      <c r="AK72" s="46"/>
      <c r="AL72" s="46"/>
      <c r="AQ72"/>
      <c r="AR72"/>
    </row>
    <row r="73" spans="1:44">
      <c r="A73" s="16" t="s">
        <v>196</v>
      </c>
      <c r="B73" s="16" t="s">
        <v>86</v>
      </c>
      <c r="C73" s="16" t="s">
        <v>247</v>
      </c>
      <c r="D73" s="16" t="s">
        <v>112</v>
      </c>
      <c r="E73" s="16" t="s">
        <v>88</v>
      </c>
      <c r="F73" s="16" t="s">
        <v>201</v>
      </c>
      <c r="G73" s="16" t="s">
        <v>235</v>
      </c>
      <c r="H73" s="16" t="s">
        <v>236</v>
      </c>
      <c r="I73" s="16">
        <v>-225592</v>
      </c>
      <c r="U73" s="16">
        <v>-225592</v>
      </c>
      <c r="AG73" s="73"/>
      <c r="AI73" s="46"/>
      <c r="AJ73" s="46"/>
      <c r="AK73" s="46"/>
      <c r="AL73" s="46"/>
      <c r="AQ73"/>
      <c r="AR73"/>
    </row>
    <row r="74" spans="1:44">
      <c r="A74" s="16" t="s">
        <v>196</v>
      </c>
      <c r="B74" s="16" t="s">
        <v>87</v>
      </c>
      <c r="C74" s="16" t="s">
        <v>240</v>
      </c>
      <c r="D74" s="16" t="s">
        <v>88</v>
      </c>
      <c r="E74" s="16" t="s">
        <v>112</v>
      </c>
      <c r="F74" s="16" t="s">
        <v>196</v>
      </c>
      <c r="G74" s="16" t="s">
        <v>239</v>
      </c>
      <c r="H74" s="16" t="s">
        <v>128</v>
      </c>
      <c r="I74" s="16">
        <v>59871.24</v>
      </c>
      <c r="M74" s="16">
        <v>59871.24</v>
      </c>
      <c r="AG74" s="73"/>
      <c r="AI74" s="46"/>
      <c r="AJ74" s="46"/>
      <c r="AK74" s="46"/>
      <c r="AL74" s="46"/>
      <c r="AQ74"/>
      <c r="AR74"/>
    </row>
    <row r="75" spans="1:44">
      <c r="A75" s="16" t="s">
        <v>196</v>
      </c>
      <c r="B75" s="16" t="s">
        <v>87</v>
      </c>
      <c r="C75" s="16" t="s">
        <v>241</v>
      </c>
      <c r="D75" s="16" t="s">
        <v>88</v>
      </c>
      <c r="E75" s="16" t="s">
        <v>112</v>
      </c>
      <c r="F75" s="16" t="s">
        <v>196</v>
      </c>
      <c r="G75" s="16" t="s">
        <v>235</v>
      </c>
      <c r="H75" s="16" t="s">
        <v>236</v>
      </c>
      <c r="I75" s="16">
        <v>111679</v>
      </c>
      <c r="U75" s="16">
        <v>111679</v>
      </c>
      <c r="AG75" s="73"/>
      <c r="AI75" s="46"/>
      <c r="AJ75" s="46"/>
      <c r="AK75" s="46"/>
      <c r="AL75" s="46"/>
      <c r="AQ75"/>
      <c r="AR75"/>
    </row>
    <row r="76" spans="1:44">
      <c r="A76" s="16" t="s">
        <v>196</v>
      </c>
      <c r="B76" s="16" t="s">
        <v>87</v>
      </c>
      <c r="C76" s="16" t="s">
        <v>241</v>
      </c>
      <c r="D76" s="16" t="s">
        <v>88</v>
      </c>
      <c r="E76" s="16" t="s">
        <v>112</v>
      </c>
      <c r="F76" s="16" t="s">
        <v>196</v>
      </c>
      <c r="G76" s="16" t="s">
        <v>242</v>
      </c>
      <c r="H76" s="16" t="s">
        <v>180</v>
      </c>
      <c r="I76" s="16">
        <v>36814.28</v>
      </c>
      <c r="T76" s="16">
        <v>36814.28</v>
      </c>
      <c r="AG76" s="73"/>
      <c r="AI76" s="46"/>
      <c r="AJ76" s="46"/>
      <c r="AK76" s="46"/>
      <c r="AL76" s="46"/>
      <c r="AQ76"/>
      <c r="AR76"/>
    </row>
    <row r="77" spans="1:44">
      <c r="A77" s="16" t="s">
        <v>196</v>
      </c>
      <c r="B77" s="16" t="s">
        <v>103</v>
      </c>
      <c r="C77" s="16" t="s">
        <v>252</v>
      </c>
      <c r="D77" s="16" t="s">
        <v>88</v>
      </c>
      <c r="E77" s="16" t="s">
        <v>112</v>
      </c>
      <c r="F77" s="16" t="s">
        <v>196</v>
      </c>
      <c r="G77" s="16" t="s">
        <v>253</v>
      </c>
      <c r="H77" s="16" t="s">
        <v>168</v>
      </c>
      <c r="I77" s="16">
        <v>1396633</v>
      </c>
      <c r="L77" s="16">
        <v>1396633</v>
      </c>
      <c r="AG77" s="73"/>
      <c r="AI77" s="46"/>
      <c r="AJ77" s="46"/>
      <c r="AK77" s="46"/>
      <c r="AL77" s="46"/>
      <c r="AQ77"/>
      <c r="AR77"/>
    </row>
    <row r="78" spans="1:44">
      <c r="A78" s="16" t="s">
        <v>196</v>
      </c>
      <c r="B78" s="16" t="s">
        <v>99</v>
      </c>
      <c r="C78" s="16" t="s">
        <v>252</v>
      </c>
      <c r="D78" s="16" t="s">
        <v>112</v>
      </c>
      <c r="E78" s="16" t="s">
        <v>88</v>
      </c>
      <c r="F78" s="16" t="s">
        <v>196</v>
      </c>
      <c r="G78" s="16" t="s">
        <v>253</v>
      </c>
      <c r="H78" s="16" t="s">
        <v>254</v>
      </c>
      <c r="I78" s="16">
        <v>-1551814</v>
      </c>
      <c r="Q78" s="16">
        <v>-1551814</v>
      </c>
      <c r="AG78" s="73"/>
      <c r="AI78" s="46"/>
      <c r="AJ78" s="46"/>
      <c r="AK78" s="46"/>
      <c r="AL78" s="46"/>
      <c r="AQ78"/>
      <c r="AR78"/>
    </row>
    <row r="79" spans="1:44">
      <c r="A79" s="16" t="s">
        <v>201</v>
      </c>
      <c r="B79" s="16" t="s">
        <v>86</v>
      </c>
      <c r="C79" s="16" t="s">
        <v>258</v>
      </c>
      <c r="D79" s="16" t="s">
        <v>112</v>
      </c>
      <c r="E79" s="16" t="s">
        <v>88</v>
      </c>
      <c r="F79" s="16" t="s">
        <v>202</v>
      </c>
      <c r="G79" s="16" t="s">
        <v>259</v>
      </c>
      <c r="H79" s="16" t="s">
        <v>260</v>
      </c>
      <c r="I79" s="16">
        <v>-96554.44</v>
      </c>
      <c r="T79" s="16">
        <v>-96554.44</v>
      </c>
      <c r="AG79" s="22"/>
      <c r="AI79" s="46"/>
      <c r="AJ79" s="46"/>
      <c r="AK79" s="46"/>
      <c r="AL79" s="46"/>
      <c r="AQ79"/>
      <c r="AR79"/>
    </row>
    <row r="80" spans="1:44">
      <c r="A80" s="16" t="s">
        <v>201</v>
      </c>
      <c r="B80" s="16" t="s">
        <v>86</v>
      </c>
      <c r="C80" s="16" t="s">
        <v>261</v>
      </c>
      <c r="D80" s="16" t="s">
        <v>112</v>
      </c>
      <c r="E80" s="16" t="s">
        <v>88</v>
      </c>
      <c r="F80" s="16" t="s">
        <v>262</v>
      </c>
      <c r="G80" s="16" t="s">
        <v>263</v>
      </c>
      <c r="H80" s="16" t="s">
        <v>264</v>
      </c>
      <c r="I80" s="16">
        <v>-76220.350000000006</v>
      </c>
      <c r="U80" s="16">
        <v>-76220.350000000006</v>
      </c>
      <c r="AG80" s="22"/>
      <c r="AI80" s="46"/>
      <c r="AJ80" s="46"/>
      <c r="AK80" s="46"/>
      <c r="AL80" s="46"/>
      <c r="AQ80"/>
      <c r="AR80"/>
    </row>
    <row r="81" spans="1:44">
      <c r="A81" s="16" t="s">
        <v>201</v>
      </c>
      <c r="B81" s="16" t="s">
        <v>87</v>
      </c>
      <c r="C81" s="16" t="s">
        <v>247</v>
      </c>
      <c r="D81" s="16" t="s">
        <v>88</v>
      </c>
      <c r="E81" s="16" t="s">
        <v>112</v>
      </c>
      <c r="F81" s="16" t="s">
        <v>201</v>
      </c>
      <c r="G81" s="16" t="s">
        <v>235</v>
      </c>
      <c r="H81" s="16" t="s">
        <v>236</v>
      </c>
      <c r="I81" s="16">
        <v>225592</v>
      </c>
      <c r="U81" s="16">
        <v>225592</v>
      </c>
      <c r="AG81" s="22"/>
      <c r="AI81" s="46"/>
      <c r="AJ81" s="46"/>
      <c r="AK81" s="46"/>
      <c r="AL81" s="46"/>
      <c r="AQ81"/>
      <c r="AR81"/>
    </row>
    <row r="82" spans="1:44">
      <c r="A82" s="16" t="s">
        <v>201</v>
      </c>
      <c r="B82" s="16" t="s">
        <v>108</v>
      </c>
      <c r="C82" s="16" t="s">
        <v>197</v>
      </c>
      <c r="D82" s="16" t="s">
        <v>112</v>
      </c>
      <c r="E82" s="16" t="s">
        <v>88</v>
      </c>
      <c r="F82" s="16" t="s">
        <v>201</v>
      </c>
      <c r="G82" s="16" t="s">
        <v>199</v>
      </c>
      <c r="H82" s="16" t="s">
        <v>200</v>
      </c>
      <c r="I82" s="16">
        <v>-446000</v>
      </c>
      <c r="Q82" s="16">
        <v>-446000</v>
      </c>
      <c r="AG82" s="22"/>
      <c r="AI82" s="46"/>
      <c r="AJ82" s="46"/>
      <c r="AK82" s="46"/>
      <c r="AL82" s="46"/>
      <c r="AQ82"/>
      <c r="AR82"/>
    </row>
    <row r="83" spans="1:44">
      <c r="A83" s="16" t="s">
        <v>201</v>
      </c>
      <c r="B83" s="16" t="s">
        <v>108</v>
      </c>
      <c r="C83" s="16" t="s">
        <v>248</v>
      </c>
      <c r="D83" s="16" t="s">
        <v>112</v>
      </c>
      <c r="E83" s="16" t="s">
        <v>88</v>
      </c>
      <c r="F83" s="16" t="s">
        <v>201</v>
      </c>
      <c r="G83" s="16" t="s">
        <v>249</v>
      </c>
      <c r="H83" s="16" t="s">
        <v>250</v>
      </c>
      <c r="I83" s="16">
        <v>-38720.400000000001</v>
      </c>
      <c r="S83" s="16">
        <v>-38720.400000000001</v>
      </c>
      <c r="AG83" s="22"/>
      <c r="AI83" s="46"/>
      <c r="AJ83" s="46"/>
      <c r="AK83" s="46"/>
      <c r="AL83" s="46"/>
      <c r="AQ83"/>
      <c r="AR83"/>
    </row>
    <row r="84" spans="1:44">
      <c r="A84" s="16" t="s">
        <v>202</v>
      </c>
      <c r="B84" s="16" t="s">
        <v>86</v>
      </c>
      <c r="C84" s="16" t="s">
        <v>261</v>
      </c>
      <c r="D84" s="16" t="s">
        <v>112</v>
      </c>
      <c r="E84" s="16" t="s">
        <v>88</v>
      </c>
      <c r="F84" s="16" t="s">
        <v>262</v>
      </c>
      <c r="G84" s="16" t="s">
        <v>263</v>
      </c>
      <c r="H84" s="16" t="s">
        <v>264</v>
      </c>
      <c r="I84" s="16">
        <v>-105207.09</v>
      </c>
      <c r="U84" s="16">
        <v>-105207.09</v>
      </c>
      <c r="AG84" s="22"/>
      <c r="AI84" s="46"/>
      <c r="AJ84" s="46"/>
      <c r="AK84" s="46"/>
      <c r="AL84" s="46"/>
      <c r="AQ84"/>
      <c r="AR84"/>
    </row>
    <row r="85" spans="1:44">
      <c r="A85" s="16" t="s">
        <v>202</v>
      </c>
      <c r="B85" s="16" t="s">
        <v>87</v>
      </c>
      <c r="C85" s="16" t="s">
        <v>258</v>
      </c>
      <c r="D85" s="16" t="s">
        <v>88</v>
      </c>
      <c r="E85" s="16" t="s">
        <v>112</v>
      </c>
      <c r="F85" s="16" t="s">
        <v>202</v>
      </c>
      <c r="G85" s="16" t="s">
        <v>259</v>
      </c>
      <c r="H85" s="16" t="s">
        <v>260</v>
      </c>
      <c r="I85" s="16">
        <v>96554.44</v>
      </c>
      <c r="T85" s="16">
        <v>96554.44</v>
      </c>
      <c r="AG85" s="22"/>
      <c r="AI85" s="46"/>
      <c r="AJ85" s="46"/>
      <c r="AK85" s="46"/>
      <c r="AL85" s="46"/>
      <c r="AQ85"/>
      <c r="AR85"/>
    </row>
    <row r="86" spans="1:44">
      <c r="A86" s="16" t="s">
        <v>202</v>
      </c>
      <c r="B86" s="16" t="s">
        <v>108</v>
      </c>
      <c r="C86" s="16" t="s">
        <v>197</v>
      </c>
      <c r="D86" s="16" t="s">
        <v>112</v>
      </c>
      <c r="E86" s="16" t="s">
        <v>88</v>
      </c>
      <c r="F86" s="16" t="s">
        <v>202</v>
      </c>
      <c r="G86" s="16" t="s">
        <v>199</v>
      </c>
      <c r="H86" s="16" t="s">
        <v>200</v>
      </c>
      <c r="I86" s="16">
        <v>-446000</v>
      </c>
      <c r="Q86" s="16">
        <v>-446000</v>
      </c>
      <c r="AG86" s="22"/>
      <c r="AI86" s="46"/>
      <c r="AJ86" s="46"/>
      <c r="AK86" s="46"/>
      <c r="AL86" s="46"/>
      <c r="AQ86"/>
      <c r="AR86"/>
    </row>
    <row r="87" spans="1:44">
      <c r="A87" s="16" t="s">
        <v>262</v>
      </c>
      <c r="B87" s="16" t="s">
        <v>106</v>
      </c>
      <c r="C87" s="16" t="s">
        <v>305</v>
      </c>
      <c r="D87" s="16" t="s">
        <v>88</v>
      </c>
      <c r="E87" s="16" t="s">
        <v>112</v>
      </c>
      <c r="F87" s="16" t="s">
        <v>306</v>
      </c>
      <c r="G87" s="16" t="s">
        <v>307</v>
      </c>
      <c r="H87" s="16" t="s">
        <v>308</v>
      </c>
      <c r="I87" s="16">
        <v>16272.09</v>
      </c>
      <c r="T87" s="16">
        <v>16272.09</v>
      </c>
      <c r="AG87" s="22"/>
      <c r="AI87" s="46"/>
      <c r="AJ87" s="46"/>
      <c r="AK87" s="46"/>
      <c r="AL87" s="46"/>
      <c r="AQ87"/>
      <c r="AR87"/>
    </row>
    <row r="88" spans="1:44">
      <c r="A88" s="16" t="s">
        <v>262</v>
      </c>
      <c r="B88" s="16" t="s">
        <v>87</v>
      </c>
      <c r="C88" s="16" t="s">
        <v>261</v>
      </c>
      <c r="D88" s="16" t="s">
        <v>88</v>
      </c>
      <c r="E88" s="16" t="s">
        <v>112</v>
      </c>
      <c r="F88" s="16" t="s">
        <v>262</v>
      </c>
      <c r="G88" s="16" t="s">
        <v>263</v>
      </c>
      <c r="H88" s="16" t="s">
        <v>264</v>
      </c>
      <c r="I88" s="16">
        <v>181427.44</v>
      </c>
      <c r="U88" s="16">
        <v>181427.44</v>
      </c>
      <c r="AG88" s="22"/>
      <c r="AI88" s="46"/>
      <c r="AJ88" s="46"/>
      <c r="AK88" s="46"/>
      <c r="AL88" s="46"/>
      <c r="AQ88"/>
      <c r="AR88"/>
    </row>
    <row r="89" spans="1:44">
      <c r="A89" s="16" t="s">
        <v>306</v>
      </c>
      <c r="B89" s="16" t="s">
        <v>108</v>
      </c>
      <c r="C89" s="16" t="s">
        <v>305</v>
      </c>
      <c r="D89" s="16" t="s">
        <v>112</v>
      </c>
      <c r="E89" s="16" t="s">
        <v>88</v>
      </c>
      <c r="F89" s="16" t="s">
        <v>306</v>
      </c>
      <c r="G89" s="16" t="s">
        <v>307</v>
      </c>
      <c r="H89" s="16" t="s">
        <v>308</v>
      </c>
      <c r="I89" s="16">
        <v>-16272.09</v>
      </c>
      <c r="T89" s="16">
        <v>-16272.09</v>
      </c>
      <c r="AG89" s="22"/>
      <c r="AI89" s="46"/>
      <c r="AJ89" s="46"/>
      <c r="AK89" s="46"/>
      <c r="AL89" s="46"/>
      <c r="AQ89"/>
      <c r="AR89"/>
    </row>
    <row r="90" spans="1:44">
      <c r="H90" s="16"/>
      <c r="AG90" s="22"/>
      <c r="AI90" s="46"/>
      <c r="AJ90" s="46"/>
      <c r="AK90" s="46"/>
      <c r="AL90" s="46"/>
      <c r="AQ90"/>
      <c r="AR90"/>
    </row>
    <row r="91" spans="1:44">
      <c r="H91" s="16"/>
      <c r="AG91" s="22"/>
      <c r="AI91" s="46"/>
      <c r="AJ91" s="46"/>
      <c r="AK91" s="46"/>
      <c r="AL91" s="46"/>
      <c r="AQ91"/>
      <c r="AR91"/>
    </row>
    <row r="92" spans="1:44">
      <c r="H92" s="16"/>
      <c r="AG92" s="22"/>
      <c r="AI92" s="46"/>
      <c r="AJ92" s="46"/>
      <c r="AK92" s="46"/>
      <c r="AL92" s="46"/>
      <c r="AQ92"/>
      <c r="AR92"/>
    </row>
    <row r="93" spans="1:44">
      <c r="H93" s="16"/>
      <c r="AG93" s="22"/>
      <c r="AI93" s="46"/>
      <c r="AJ93" s="46"/>
      <c r="AK93" s="46"/>
      <c r="AL93" s="46"/>
      <c r="AQ93"/>
      <c r="AR93"/>
    </row>
    <row r="94" spans="1:44">
      <c r="H94" s="16"/>
      <c r="AG94" s="22"/>
      <c r="AI94" s="46"/>
      <c r="AJ94" s="46"/>
      <c r="AK94" s="46"/>
      <c r="AL94" s="46"/>
      <c r="AQ94"/>
      <c r="AR94"/>
    </row>
    <row r="95" spans="1:44">
      <c r="H95" s="16"/>
      <c r="AG95" s="22"/>
      <c r="AI95" s="46"/>
      <c r="AJ95" s="46"/>
      <c r="AK95" s="46"/>
      <c r="AL95" s="46"/>
      <c r="AQ95"/>
      <c r="AR95"/>
    </row>
    <row r="96" spans="1:44">
      <c r="H96" s="16"/>
      <c r="AG96" s="22"/>
      <c r="AI96" s="46"/>
      <c r="AJ96" s="46"/>
      <c r="AK96" s="46"/>
      <c r="AL96" s="46"/>
      <c r="AQ96"/>
      <c r="AR96"/>
    </row>
    <row r="97" spans="1:44">
      <c r="H97" s="16"/>
      <c r="AG97" s="22"/>
      <c r="AI97" s="46"/>
      <c r="AJ97" s="46"/>
      <c r="AK97" s="46"/>
      <c r="AL97" s="46"/>
      <c r="AQ97"/>
      <c r="AR97"/>
    </row>
    <row r="98" spans="1:44">
      <c r="H98" s="16"/>
      <c r="AG98" s="22"/>
      <c r="AI98" s="46"/>
      <c r="AJ98" s="46"/>
      <c r="AK98" s="46"/>
      <c r="AL98" s="46"/>
      <c r="AQ98"/>
      <c r="AR98"/>
    </row>
    <row r="99" spans="1:44">
      <c r="H99" s="16"/>
      <c r="AG99" s="22"/>
      <c r="AI99" s="46"/>
      <c r="AJ99" s="46"/>
      <c r="AK99" s="46"/>
      <c r="AL99" s="46"/>
      <c r="AQ99"/>
      <c r="AR99"/>
    </row>
    <row r="100" spans="1:44">
      <c r="H100" s="16"/>
      <c r="AG100" s="22"/>
      <c r="AI100" s="46"/>
      <c r="AJ100" s="46"/>
      <c r="AK100" s="46"/>
      <c r="AL100" s="46"/>
      <c r="AQ100"/>
      <c r="AR100"/>
    </row>
    <row r="101" spans="1:44">
      <c r="H101" s="16"/>
      <c r="AG101" s="22"/>
      <c r="AI101" s="46"/>
      <c r="AJ101" s="46"/>
      <c r="AK101" s="46"/>
      <c r="AL101" s="46"/>
      <c r="AQ101"/>
      <c r="AR101"/>
    </row>
    <row r="102" spans="1:44" ht="15.6">
      <c r="A102" s="201" t="s">
        <v>76</v>
      </c>
      <c r="B102" s="201"/>
      <c r="C102" s="201"/>
      <c r="D102" s="201"/>
      <c r="E102" s="201"/>
      <c r="F102" s="201"/>
      <c r="G102" s="201"/>
      <c r="AK102" s="46"/>
      <c r="AL102" s="46"/>
      <c r="AM102" s="46"/>
      <c r="AN102" s="46"/>
    </row>
    <row r="104" spans="1:44">
      <c r="A104" s="46" t="s">
        <v>43</v>
      </c>
      <c r="B104" s="46" t="s">
        <v>44</v>
      </c>
      <c r="C104" s="46" t="s">
        <v>13</v>
      </c>
      <c r="D104" s="46" t="s">
        <v>82</v>
      </c>
      <c r="E104" s="46" t="s">
        <v>83</v>
      </c>
      <c r="F104" s="46" t="s">
        <v>45</v>
      </c>
      <c r="G104" s="46" t="s">
        <v>84</v>
      </c>
      <c r="H104" s="46" t="s">
        <v>85</v>
      </c>
      <c r="I104" s="46" t="s">
        <v>10</v>
      </c>
      <c r="J104" s="46" t="s">
        <v>41</v>
      </c>
      <c r="K104" s="46" t="s">
        <v>151</v>
      </c>
      <c r="L104" s="46" t="s">
        <v>160</v>
      </c>
      <c r="M104" s="46" t="s">
        <v>4</v>
      </c>
      <c r="N104" s="46" t="s">
        <v>152</v>
      </c>
      <c r="O104" s="46" t="s">
        <v>222</v>
      </c>
      <c r="P104" s="46" t="s">
        <v>5</v>
      </c>
      <c r="Q104" s="46" t="s">
        <v>96</v>
      </c>
      <c r="R104" s="46" t="s">
        <v>100</v>
      </c>
      <c r="S104" s="46" t="s">
        <v>223</v>
      </c>
      <c r="T104" s="46" t="s">
        <v>224</v>
      </c>
      <c r="U104" s="46" t="s">
        <v>225</v>
      </c>
      <c r="V104" s="125" t="s">
        <v>226</v>
      </c>
      <c r="W104" s="125" t="s">
        <v>153</v>
      </c>
      <c r="X104" s="126" t="s">
        <v>227</v>
      </c>
      <c r="Y104" s="126" t="s">
        <v>154</v>
      </c>
      <c r="Z104" s="126" t="s">
        <v>228</v>
      </c>
      <c r="AA104" s="126" t="s">
        <v>229</v>
      </c>
      <c r="AF104"/>
      <c r="AG104"/>
      <c r="AH104"/>
      <c r="AI104"/>
      <c r="AJ104"/>
      <c r="AK104"/>
      <c r="AL104"/>
      <c r="AM104"/>
      <c r="AN104"/>
      <c r="AO104"/>
      <c r="AP104"/>
      <c r="AQ104"/>
      <c r="AR104"/>
    </row>
    <row r="105" spans="1:44">
      <c r="A105" s="22" t="s">
        <v>89</v>
      </c>
      <c r="B105" s="22" t="s">
        <v>106</v>
      </c>
      <c r="C105" s="22" t="s">
        <v>114</v>
      </c>
      <c r="D105" s="22" t="s">
        <v>115</v>
      </c>
      <c r="E105" s="22" t="s">
        <v>112</v>
      </c>
      <c r="F105" s="22" t="s">
        <v>90</v>
      </c>
      <c r="G105" s="22" t="s">
        <v>116</v>
      </c>
      <c r="H105" s="22" t="s">
        <v>117</v>
      </c>
      <c r="I105" s="22">
        <v>120639</v>
      </c>
      <c r="J105" s="22"/>
      <c r="K105" s="22"/>
      <c r="L105" s="22"/>
      <c r="M105" s="22">
        <v>120639</v>
      </c>
      <c r="N105" s="22"/>
      <c r="O105" s="22"/>
      <c r="P105" s="22"/>
      <c r="Q105" s="22"/>
      <c r="R105" s="22"/>
      <c r="S105" s="46"/>
      <c r="T105" s="46"/>
      <c r="U105" s="84"/>
      <c r="V105" s="125"/>
      <c r="W105" s="125"/>
      <c r="X105" s="126"/>
      <c r="Y105" s="126"/>
      <c r="Z105" s="126"/>
      <c r="AA105" s="126"/>
      <c r="AF105"/>
      <c r="AG105"/>
      <c r="AH105"/>
      <c r="AI105"/>
      <c r="AJ105"/>
      <c r="AK105"/>
      <c r="AL105"/>
      <c r="AM105"/>
      <c r="AN105"/>
      <c r="AO105"/>
      <c r="AP105"/>
      <c r="AQ105"/>
      <c r="AR105"/>
    </row>
    <row r="106" spans="1:44">
      <c r="A106" s="46" t="s">
        <v>89</v>
      </c>
      <c r="B106" s="46" t="s">
        <v>103</v>
      </c>
      <c r="C106" s="46" t="s">
        <v>118</v>
      </c>
      <c r="D106" s="46" t="s">
        <v>119</v>
      </c>
      <c r="E106" s="46" t="s">
        <v>112</v>
      </c>
      <c r="F106" s="46" t="s">
        <v>89</v>
      </c>
      <c r="G106" s="46" t="s">
        <v>120</v>
      </c>
      <c r="H106" s="46" t="s">
        <v>121</v>
      </c>
      <c r="I106" s="46">
        <v>150000</v>
      </c>
      <c r="J106" s="46"/>
      <c r="K106" s="46"/>
      <c r="L106" s="46"/>
      <c r="M106" s="46"/>
      <c r="N106" s="46"/>
      <c r="O106" s="46"/>
      <c r="P106" s="46"/>
      <c r="Q106" s="46"/>
      <c r="R106" s="46"/>
      <c r="S106" s="46"/>
      <c r="T106" s="46"/>
      <c r="U106" s="84"/>
      <c r="V106" s="125">
        <v>150000</v>
      </c>
      <c r="W106" s="125"/>
      <c r="X106" s="126"/>
      <c r="Y106" s="126"/>
      <c r="Z106" s="126"/>
      <c r="AA106" s="126"/>
      <c r="AF106"/>
      <c r="AG106"/>
      <c r="AH106"/>
      <c r="AI106"/>
      <c r="AJ106"/>
      <c r="AK106"/>
      <c r="AL106"/>
      <c r="AM106"/>
      <c r="AN106"/>
      <c r="AO106"/>
      <c r="AP106"/>
      <c r="AQ106"/>
      <c r="AR106"/>
    </row>
    <row r="107" spans="1:44">
      <c r="A107" s="46" t="s">
        <v>91</v>
      </c>
      <c r="B107" s="46" t="s">
        <v>106</v>
      </c>
      <c r="C107" s="46" t="s">
        <v>122</v>
      </c>
      <c r="D107" s="46" t="s">
        <v>107</v>
      </c>
      <c r="E107" s="46" t="s">
        <v>112</v>
      </c>
      <c r="F107" s="46" t="s">
        <v>90</v>
      </c>
      <c r="G107" s="46"/>
      <c r="H107" s="46" t="s">
        <v>123</v>
      </c>
      <c r="I107" s="46">
        <v>280053</v>
      </c>
      <c r="J107" s="46"/>
      <c r="K107" s="46"/>
      <c r="L107" s="46"/>
      <c r="M107" s="46"/>
      <c r="N107" s="46"/>
      <c r="O107" s="46"/>
      <c r="P107" s="46"/>
      <c r="Q107" s="46"/>
      <c r="R107" s="46"/>
      <c r="S107" s="46"/>
      <c r="T107" s="46"/>
      <c r="U107" s="84"/>
      <c r="V107" s="125">
        <v>280053</v>
      </c>
      <c r="W107" s="125"/>
      <c r="X107" s="126"/>
      <c r="Y107" s="126"/>
      <c r="Z107" s="126"/>
      <c r="AA107" s="126"/>
      <c r="AF107"/>
      <c r="AG107"/>
      <c r="AH107"/>
      <c r="AI107"/>
      <c r="AJ107"/>
      <c r="AK107"/>
      <c r="AL107"/>
      <c r="AM107"/>
      <c r="AN107"/>
      <c r="AO107"/>
      <c r="AP107"/>
      <c r="AQ107"/>
      <c r="AR107"/>
    </row>
    <row r="108" spans="1:44">
      <c r="A108" s="46" t="s">
        <v>91</v>
      </c>
      <c r="B108" s="46" t="s">
        <v>86</v>
      </c>
      <c r="C108" s="46" t="s">
        <v>124</v>
      </c>
      <c r="D108" s="46" t="s">
        <v>112</v>
      </c>
      <c r="E108" s="46" t="s">
        <v>119</v>
      </c>
      <c r="F108" s="46" t="s">
        <v>94</v>
      </c>
      <c r="G108" s="46"/>
      <c r="H108" s="46" t="s">
        <v>125</v>
      </c>
      <c r="I108" s="46">
        <v>-113148</v>
      </c>
      <c r="J108" s="46"/>
      <c r="K108" s="46"/>
      <c r="L108" s="46"/>
      <c r="M108" s="46">
        <v>-113148</v>
      </c>
      <c r="N108" s="46"/>
      <c r="O108" s="46"/>
      <c r="P108" s="46"/>
      <c r="Q108" s="46"/>
      <c r="R108" s="46"/>
      <c r="S108" s="46"/>
      <c r="T108" s="46"/>
      <c r="U108" s="84"/>
      <c r="V108" s="125"/>
      <c r="W108" s="125"/>
      <c r="X108" s="125"/>
      <c r="Y108" s="125"/>
      <c r="Z108" s="125"/>
      <c r="AA108" s="125"/>
      <c r="AB108"/>
      <c r="AC108"/>
      <c r="AD108"/>
      <c r="AE108"/>
      <c r="AF108"/>
      <c r="AG108"/>
      <c r="AH108"/>
      <c r="AI108"/>
      <c r="AJ108"/>
      <c r="AK108"/>
      <c r="AL108"/>
      <c r="AM108"/>
      <c r="AN108"/>
      <c r="AO108"/>
      <c r="AP108"/>
      <c r="AQ108"/>
      <c r="AR108"/>
    </row>
    <row r="109" spans="1:44">
      <c r="A109" s="46" t="s">
        <v>90</v>
      </c>
      <c r="B109" s="46" t="s">
        <v>86</v>
      </c>
      <c r="C109" s="46" t="s">
        <v>126</v>
      </c>
      <c r="D109" s="46" t="s">
        <v>112</v>
      </c>
      <c r="E109" s="46" t="s">
        <v>88</v>
      </c>
      <c r="F109" s="46" t="s">
        <v>94</v>
      </c>
      <c r="G109" s="46" t="s">
        <v>127</v>
      </c>
      <c r="H109" s="46" t="s">
        <v>128</v>
      </c>
      <c r="I109" s="46">
        <v>-70069</v>
      </c>
      <c r="J109" s="46"/>
      <c r="K109" s="46"/>
      <c r="L109" s="46"/>
      <c r="M109" s="46">
        <v>-70069</v>
      </c>
      <c r="N109" s="46"/>
      <c r="O109" s="46"/>
      <c r="P109" s="46"/>
      <c r="Q109" s="46"/>
      <c r="R109" s="46"/>
      <c r="S109" s="46"/>
      <c r="T109" s="46"/>
      <c r="U109" s="84"/>
      <c r="V109" s="125"/>
      <c r="W109" s="125"/>
      <c r="X109" s="125"/>
      <c r="Y109" s="125"/>
      <c r="Z109" s="125"/>
      <c r="AA109" s="125"/>
      <c r="AB109"/>
      <c r="AC109"/>
      <c r="AD109"/>
      <c r="AE109"/>
      <c r="AF109"/>
      <c r="AG109"/>
      <c r="AH109"/>
      <c r="AI109"/>
      <c r="AJ109"/>
      <c r="AK109"/>
      <c r="AL109"/>
      <c r="AM109"/>
      <c r="AN109"/>
      <c r="AO109"/>
      <c r="AP109"/>
      <c r="AQ109"/>
      <c r="AR109"/>
    </row>
    <row r="110" spans="1:44">
      <c r="A110" s="46" t="s">
        <v>90</v>
      </c>
      <c r="B110" s="46" t="s">
        <v>86</v>
      </c>
      <c r="C110" s="46" t="s">
        <v>129</v>
      </c>
      <c r="D110" s="46" t="s">
        <v>112</v>
      </c>
      <c r="E110" s="46" t="s">
        <v>104</v>
      </c>
      <c r="F110" s="46" t="s">
        <v>94</v>
      </c>
      <c r="G110" s="46"/>
      <c r="H110" s="46" t="s">
        <v>130</v>
      </c>
      <c r="I110" s="46">
        <v>-633480</v>
      </c>
      <c r="J110" s="46"/>
      <c r="K110" s="46"/>
      <c r="L110" s="46"/>
      <c r="M110" s="46"/>
      <c r="N110" s="46"/>
      <c r="O110" s="46"/>
      <c r="P110" s="46"/>
      <c r="Q110" s="46"/>
      <c r="R110" s="46"/>
      <c r="S110" s="46"/>
      <c r="T110" s="46"/>
      <c r="U110" s="84"/>
      <c r="V110" s="125">
        <v>-633480</v>
      </c>
      <c r="W110" s="125"/>
      <c r="X110" s="125"/>
      <c r="Y110" s="125"/>
      <c r="Z110" s="125"/>
      <c r="AA110" s="125"/>
      <c r="AB110"/>
      <c r="AC110"/>
      <c r="AD110"/>
      <c r="AE110"/>
      <c r="AF110"/>
      <c r="AG110"/>
      <c r="AH110"/>
      <c r="AI110"/>
      <c r="AJ110"/>
      <c r="AK110"/>
      <c r="AL110"/>
      <c r="AM110"/>
      <c r="AN110"/>
      <c r="AO110"/>
      <c r="AP110"/>
      <c r="AQ110"/>
      <c r="AR110"/>
    </row>
    <row r="111" spans="1:44">
      <c r="A111" s="51" t="s">
        <v>90</v>
      </c>
      <c r="B111" s="51" t="s">
        <v>108</v>
      </c>
      <c r="C111" s="51" t="s">
        <v>122</v>
      </c>
      <c r="D111" s="51" t="s">
        <v>112</v>
      </c>
      <c r="E111" s="51" t="s">
        <v>107</v>
      </c>
      <c r="F111" s="51" t="s">
        <v>90</v>
      </c>
      <c r="G111" s="51"/>
      <c r="H111" s="51" t="s">
        <v>123</v>
      </c>
      <c r="I111" s="51">
        <v>-280053</v>
      </c>
      <c r="J111" s="51"/>
      <c r="K111" s="51"/>
      <c r="L111" s="51"/>
      <c r="M111" s="51"/>
      <c r="N111" s="51"/>
      <c r="O111" s="51"/>
      <c r="P111" s="51"/>
      <c r="Q111" s="51"/>
      <c r="R111" s="51"/>
      <c r="S111" s="51"/>
      <c r="T111" s="51"/>
      <c r="U111" s="85"/>
      <c r="V111" s="126">
        <v>-280053</v>
      </c>
      <c r="W111" s="126"/>
      <c r="X111" s="125"/>
      <c r="Y111" s="125"/>
      <c r="Z111" s="125"/>
      <c r="AA111" s="125"/>
      <c r="AB111"/>
      <c r="AC111"/>
      <c r="AD111"/>
      <c r="AE111"/>
      <c r="AF111"/>
      <c r="AG111"/>
      <c r="AH111"/>
      <c r="AI111"/>
      <c r="AJ111"/>
      <c r="AK111"/>
      <c r="AL111"/>
      <c r="AM111"/>
      <c r="AN111"/>
      <c r="AO111"/>
      <c r="AP111"/>
      <c r="AQ111"/>
      <c r="AR111"/>
    </row>
    <row r="112" spans="1:44">
      <c r="A112" s="60" t="s">
        <v>90</v>
      </c>
      <c r="B112" s="60" t="s">
        <v>108</v>
      </c>
      <c r="C112" s="60" t="s">
        <v>114</v>
      </c>
      <c r="D112" s="60" t="s">
        <v>112</v>
      </c>
      <c r="E112" s="60" t="s">
        <v>115</v>
      </c>
      <c r="F112" s="60"/>
      <c r="G112" s="60" t="s">
        <v>116</v>
      </c>
      <c r="H112" s="60" t="s">
        <v>131</v>
      </c>
      <c r="I112" s="60">
        <v>-120639</v>
      </c>
      <c r="J112" s="60"/>
      <c r="K112" s="60"/>
      <c r="L112" s="60"/>
      <c r="M112" s="60">
        <v>-120639</v>
      </c>
      <c r="N112" s="60"/>
      <c r="O112" s="60"/>
      <c r="P112" s="60"/>
      <c r="Q112" s="60"/>
      <c r="R112" s="60"/>
      <c r="S112" s="60"/>
      <c r="T112" s="60"/>
      <c r="U112" s="85"/>
      <c r="V112" s="126"/>
      <c r="W112" s="126"/>
      <c r="X112" s="125"/>
      <c r="Y112" s="125"/>
      <c r="Z112" s="125"/>
      <c r="AA112" s="125"/>
      <c r="AB112"/>
      <c r="AC112"/>
      <c r="AD112"/>
      <c r="AE112"/>
      <c r="AF112"/>
      <c r="AG112"/>
      <c r="AH112"/>
      <c r="AI112"/>
      <c r="AJ112"/>
      <c r="AK112"/>
      <c r="AL112"/>
      <c r="AM112"/>
      <c r="AN112"/>
      <c r="AO112"/>
      <c r="AP112"/>
      <c r="AQ112"/>
      <c r="AR112"/>
    </row>
    <row r="113" spans="1:44">
      <c r="A113" s="60" t="s">
        <v>94</v>
      </c>
      <c r="B113" s="60" t="s">
        <v>106</v>
      </c>
      <c r="C113" s="60" t="s">
        <v>132</v>
      </c>
      <c r="D113" s="60" t="s">
        <v>107</v>
      </c>
      <c r="E113" s="60" t="s">
        <v>112</v>
      </c>
      <c r="F113" s="60" t="s">
        <v>95</v>
      </c>
      <c r="G113" s="60" t="s">
        <v>109</v>
      </c>
      <c r="H113" s="60" t="s">
        <v>133</v>
      </c>
      <c r="I113" s="60">
        <v>151000</v>
      </c>
      <c r="J113" s="60"/>
      <c r="K113" s="60"/>
      <c r="L113" s="60"/>
      <c r="M113" s="60"/>
      <c r="N113" s="60"/>
      <c r="O113" s="60"/>
      <c r="P113" s="60"/>
      <c r="Q113" s="60"/>
      <c r="R113" s="60"/>
      <c r="S113" s="60"/>
      <c r="T113" s="60"/>
      <c r="U113" s="85"/>
      <c r="V113" s="126">
        <v>151000</v>
      </c>
      <c r="W113" s="126"/>
      <c r="X113" s="125"/>
      <c r="Y113" s="125"/>
      <c r="Z113" s="125"/>
      <c r="AA113" s="125"/>
      <c r="AB113"/>
      <c r="AC113"/>
      <c r="AD113"/>
      <c r="AE113"/>
      <c r="AF113"/>
      <c r="AG113"/>
      <c r="AH113"/>
      <c r="AI113"/>
      <c r="AJ113"/>
      <c r="AK113"/>
      <c r="AL113"/>
      <c r="AM113"/>
      <c r="AN113"/>
      <c r="AO113"/>
      <c r="AP113"/>
      <c r="AQ113"/>
      <c r="AR113"/>
    </row>
    <row r="114" spans="1:44">
      <c r="A114" s="65" t="s">
        <v>94</v>
      </c>
      <c r="B114" s="65" t="s">
        <v>86</v>
      </c>
      <c r="C114" s="65" t="s">
        <v>134</v>
      </c>
      <c r="D114" s="65" t="s">
        <v>112</v>
      </c>
      <c r="E114" s="65" t="s">
        <v>88</v>
      </c>
      <c r="F114" s="65" t="s">
        <v>95</v>
      </c>
      <c r="G114" s="65"/>
      <c r="H114" s="65" t="s">
        <v>128</v>
      </c>
      <c r="I114" s="65">
        <v>-132200</v>
      </c>
      <c r="J114" s="65"/>
      <c r="K114" s="65"/>
      <c r="L114" s="65"/>
      <c r="M114" s="65">
        <v>-132200</v>
      </c>
      <c r="N114" s="65"/>
      <c r="O114" s="65"/>
      <c r="P114" s="65"/>
      <c r="Q114" s="65"/>
      <c r="R114" s="65"/>
      <c r="S114" s="65"/>
      <c r="T114" s="65"/>
      <c r="U114" s="85"/>
      <c r="V114" s="126"/>
      <c r="W114" s="126"/>
      <c r="X114" s="125"/>
      <c r="Y114" s="125"/>
      <c r="Z114" s="125"/>
      <c r="AA114" s="125"/>
      <c r="AB114"/>
      <c r="AC114"/>
      <c r="AD114"/>
      <c r="AE114"/>
      <c r="AF114"/>
      <c r="AG114"/>
      <c r="AH114"/>
      <c r="AI114"/>
      <c r="AJ114"/>
      <c r="AK114"/>
      <c r="AL114"/>
      <c r="AM114"/>
      <c r="AN114"/>
      <c r="AO114"/>
      <c r="AP114"/>
      <c r="AQ114"/>
      <c r="AR114"/>
    </row>
    <row r="115" spans="1:44">
      <c r="A115" s="65" t="s">
        <v>94</v>
      </c>
      <c r="B115" s="65" t="s">
        <v>86</v>
      </c>
      <c r="C115" s="65" t="s">
        <v>135</v>
      </c>
      <c r="D115" s="65" t="s">
        <v>112</v>
      </c>
      <c r="E115" s="65" t="s">
        <v>88</v>
      </c>
      <c r="F115" s="65" t="s">
        <v>95</v>
      </c>
      <c r="G115" s="65"/>
      <c r="H115" s="65" t="s">
        <v>128</v>
      </c>
      <c r="I115" s="65">
        <v>-73889</v>
      </c>
      <c r="J115" s="65"/>
      <c r="K115" s="65"/>
      <c r="L115" s="65"/>
      <c r="M115" s="65">
        <v>-73889</v>
      </c>
      <c r="N115" s="65"/>
      <c r="O115" s="65"/>
      <c r="P115" s="65"/>
      <c r="Q115" s="65"/>
      <c r="R115" s="65"/>
      <c r="S115" s="65"/>
      <c r="T115" s="65"/>
      <c r="U115" s="85"/>
      <c r="V115" s="126"/>
      <c r="W115" s="126"/>
      <c r="X115" s="125"/>
      <c r="Y115" s="125"/>
      <c r="Z115" s="125"/>
      <c r="AA115" s="125"/>
      <c r="AB115"/>
      <c r="AC115"/>
      <c r="AD115"/>
      <c r="AE115"/>
      <c r="AF115"/>
      <c r="AG115"/>
      <c r="AH115"/>
      <c r="AI115"/>
      <c r="AJ115"/>
      <c r="AK115"/>
      <c r="AL115"/>
      <c r="AM115"/>
      <c r="AN115"/>
      <c r="AO115"/>
      <c r="AP115"/>
      <c r="AQ115"/>
      <c r="AR115"/>
    </row>
    <row r="116" spans="1:44">
      <c r="A116" s="16" t="s">
        <v>94</v>
      </c>
      <c r="B116" s="16" t="s">
        <v>86</v>
      </c>
      <c r="C116" s="16" t="s">
        <v>136</v>
      </c>
      <c r="D116" s="16" t="s">
        <v>112</v>
      </c>
      <c r="E116" s="16" t="s">
        <v>104</v>
      </c>
      <c r="F116" s="16" t="s">
        <v>137</v>
      </c>
      <c r="H116" s="16" t="s">
        <v>130</v>
      </c>
      <c r="I116" s="16">
        <v>-196124</v>
      </c>
      <c r="U116" s="85"/>
      <c r="V116" s="126">
        <v>-196124</v>
      </c>
      <c r="W116" s="126"/>
      <c r="X116" s="126"/>
      <c r="Y116" s="126"/>
      <c r="Z116" s="126"/>
      <c r="AA116" s="126"/>
      <c r="AB116"/>
      <c r="AC116"/>
      <c r="AD116"/>
      <c r="AE116"/>
      <c r="AF116"/>
      <c r="AG116"/>
      <c r="AH116"/>
      <c r="AI116"/>
      <c r="AJ116"/>
      <c r="AK116"/>
      <c r="AL116"/>
      <c r="AM116"/>
      <c r="AN116"/>
      <c r="AO116"/>
      <c r="AP116"/>
      <c r="AQ116"/>
      <c r="AR116"/>
    </row>
    <row r="117" spans="1:44">
      <c r="A117" s="16" t="s">
        <v>94</v>
      </c>
      <c r="B117" s="16" t="s">
        <v>87</v>
      </c>
      <c r="C117" s="16" t="s">
        <v>124</v>
      </c>
      <c r="D117" s="16" t="s">
        <v>119</v>
      </c>
      <c r="E117" s="16" t="s">
        <v>112</v>
      </c>
      <c r="F117" s="16" t="s">
        <v>94</v>
      </c>
      <c r="H117" s="16" t="s">
        <v>125</v>
      </c>
      <c r="I117" s="16">
        <v>113148</v>
      </c>
      <c r="M117" s="16">
        <v>113148</v>
      </c>
      <c r="U117" s="85"/>
      <c r="V117" s="126"/>
      <c r="W117" s="126"/>
      <c r="X117" s="126"/>
      <c r="Y117" s="126"/>
      <c r="Z117" s="126"/>
      <c r="AA117" s="126"/>
      <c r="AB117"/>
      <c r="AC117"/>
      <c r="AD117"/>
      <c r="AE117"/>
      <c r="AF117"/>
      <c r="AG117"/>
      <c r="AH117"/>
      <c r="AI117"/>
      <c r="AJ117"/>
      <c r="AK117"/>
      <c r="AL117"/>
      <c r="AM117"/>
      <c r="AN117"/>
      <c r="AO117"/>
      <c r="AP117"/>
      <c r="AQ117"/>
      <c r="AR117"/>
    </row>
    <row r="118" spans="1:44">
      <c r="A118" s="74" t="s">
        <v>94</v>
      </c>
      <c r="B118" s="74" t="s">
        <v>87</v>
      </c>
      <c r="C118" s="74" t="s">
        <v>126</v>
      </c>
      <c r="D118" s="74" t="s">
        <v>88</v>
      </c>
      <c r="E118" s="74" t="s">
        <v>112</v>
      </c>
      <c r="F118" s="74" t="s">
        <v>94</v>
      </c>
      <c r="G118" s="74" t="s">
        <v>127</v>
      </c>
      <c r="H118" s="74" t="s">
        <v>128</v>
      </c>
      <c r="I118" s="74">
        <v>70069</v>
      </c>
      <c r="J118" s="74"/>
      <c r="K118" s="74"/>
      <c r="L118" s="74"/>
      <c r="M118" s="74">
        <v>70069</v>
      </c>
      <c r="N118" s="74"/>
      <c r="O118" s="74"/>
      <c r="P118" s="74"/>
      <c r="Q118" s="74"/>
      <c r="R118" s="74"/>
      <c r="S118" s="74"/>
      <c r="T118" s="74"/>
      <c r="U118" s="85"/>
      <c r="V118" s="126"/>
      <c r="W118" s="126"/>
      <c r="X118" s="126"/>
      <c r="Y118" s="126"/>
      <c r="Z118" s="126"/>
      <c r="AA118" s="126"/>
      <c r="AB118"/>
      <c r="AC118"/>
      <c r="AD118"/>
      <c r="AE118"/>
      <c r="AF118"/>
      <c r="AG118"/>
      <c r="AH118"/>
      <c r="AI118"/>
      <c r="AJ118"/>
      <c r="AK118"/>
      <c r="AL118"/>
      <c r="AM118"/>
      <c r="AN118"/>
      <c r="AO118"/>
      <c r="AP118"/>
      <c r="AQ118"/>
      <c r="AR118"/>
    </row>
    <row r="119" spans="1:44">
      <c r="A119" s="74" t="s">
        <v>94</v>
      </c>
      <c r="B119" s="74" t="s">
        <v>87</v>
      </c>
      <c r="C119" s="74" t="s">
        <v>129</v>
      </c>
      <c r="D119" s="74" t="s">
        <v>104</v>
      </c>
      <c r="E119" s="74" t="s">
        <v>112</v>
      </c>
      <c r="F119" s="74" t="s">
        <v>94</v>
      </c>
      <c r="G119" s="74"/>
      <c r="H119" s="74" t="s">
        <v>130</v>
      </c>
      <c r="I119" s="74">
        <v>633480</v>
      </c>
      <c r="J119" s="74"/>
      <c r="K119" s="74"/>
      <c r="L119" s="74"/>
      <c r="M119" s="74"/>
      <c r="N119" s="74"/>
      <c r="O119" s="74"/>
      <c r="P119" s="74"/>
      <c r="Q119" s="74"/>
      <c r="R119" s="74"/>
      <c r="S119" s="74"/>
      <c r="T119" s="74"/>
      <c r="U119" s="85"/>
      <c r="V119" s="125">
        <v>633480</v>
      </c>
      <c r="W119" s="125"/>
      <c r="X119" s="126"/>
      <c r="Y119" s="126"/>
      <c r="Z119" s="126"/>
      <c r="AA119" s="126"/>
      <c r="AB119"/>
      <c r="AC119"/>
      <c r="AD119"/>
      <c r="AE119"/>
      <c r="AF119"/>
      <c r="AG119"/>
      <c r="AH119"/>
      <c r="AI119"/>
      <c r="AJ119"/>
      <c r="AK119"/>
      <c r="AL119"/>
      <c r="AM119"/>
      <c r="AN119"/>
      <c r="AO119"/>
      <c r="AP119"/>
      <c r="AQ119"/>
      <c r="AR119"/>
    </row>
    <row r="120" spans="1:44">
      <c r="A120" s="74" t="s">
        <v>94</v>
      </c>
      <c r="B120" s="74" t="s">
        <v>103</v>
      </c>
      <c r="C120" s="74" t="s">
        <v>138</v>
      </c>
      <c r="D120" s="74" t="s">
        <v>119</v>
      </c>
      <c r="E120" s="74" t="s">
        <v>112</v>
      </c>
      <c r="F120" s="74" t="s">
        <v>94</v>
      </c>
      <c r="G120" s="74" t="s">
        <v>139</v>
      </c>
      <c r="H120" s="74" t="s">
        <v>140</v>
      </c>
      <c r="I120" s="74">
        <v>20000</v>
      </c>
      <c r="J120" s="74"/>
      <c r="K120" s="74"/>
      <c r="L120" s="74"/>
      <c r="M120" s="74">
        <v>20000</v>
      </c>
      <c r="N120" s="74"/>
      <c r="O120" s="74"/>
      <c r="P120" s="74"/>
      <c r="Q120" s="74"/>
      <c r="R120" s="74"/>
      <c r="S120" s="74"/>
      <c r="T120" s="74"/>
      <c r="U120" s="85"/>
      <c r="V120" s="126"/>
      <c r="W120" s="126"/>
      <c r="X120" s="126"/>
      <c r="Y120" s="126"/>
      <c r="Z120" s="126"/>
      <c r="AA120" s="126"/>
      <c r="AB120"/>
      <c r="AC120"/>
      <c r="AD120"/>
      <c r="AE120"/>
      <c r="AF120"/>
      <c r="AG120"/>
      <c r="AH120"/>
      <c r="AI120"/>
      <c r="AJ120"/>
      <c r="AK120"/>
      <c r="AL120"/>
      <c r="AM120"/>
      <c r="AN120"/>
      <c r="AO120"/>
      <c r="AP120"/>
      <c r="AQ120"/>
      <c r="AR120"/>
    </row>
    <row r="121" spans="1:44">
      <c r="A121" s="74" t="s">
        <v>94</v>
      </c>
      <c r="B121" s="74" t="s">
        <v>103</v>
      </c>
      <c r="C121" s="74" t="s">
        <v>141</v>
      </c>
      <c r="D121" s="74" t="s">
        <v>104</v>
      </c>
      <c r="E121" s="74" t="s">
        <v>112</v>
      </c>
      <c r="F121" s="74" t="s">
        <v>94</v>
      </c>
      <c r="G121" s="74" t="s">
        <v>105</v>
      </c>
      <c r="H121" s="74" t="s">
        <v>142</v>
      </c>
      <c r="I121" s="74">
        <v>105000</v>
      </c>
      <c r="J121" s="74"/>
      <c r="K121" s="74"/>
      <c r="L121" s="74"/>
      <c r="M121" s="74">
        <v>105000</v>
      </c>
      <c r="N121" s="74"/>
      <c r="O121" s="74"/>
      <c r="P121" s="74"/>
      <c r="Q121" s="74"/>
      <c r="R121" s="74"/>
      <c r="S121" s="74"/>
      <c r="T121" s="74"/>
      <c r="U121" s="85"/>
      <c r="V121" s="126"/>
      <c r="W121" s="126"/>
      <c r="X121" s="126"/>
      <c r="Y121" s="126"/>
      <c r="Z121" s="126"/>
      <c r="AA121" s="126"/>
      <c r="AB121"/>
      <c r="AC121"/>
      <c r="AD121"/>
      <c r="AE121"/>
      <c r="AF121"/>
      <c r="AG121"/>
      <c r="AH121"/>
      <c r="AI121"/>
      <c r="AJ121"/>
      <c r="AK121"/>
      <c r="AL121"/>
      <c r="AM121"/>
      <c r="AN121"/>
      <c r="AO121"/>
      <c r="AP121"/>
      <c r="AQ121"/>
      <c r="AR121"/>
    </row>
    <row r="122" spans="1:44">
      <c r="A122" s="74" t="s">
        <v>94</v>
      </c>
      <c r="B122" s="74" t="s">
        <v>99</v>
      </c>
      <c r="C122" s="74" t="s">
        <v>143</v>
      </c>
      <c r="D122" s="74" t="s">
        <v>112</v>
      </c>
      <c r="E122" s="74" t="s">
        <v>88</v>
      </c>
      <c r="F122" s="74" t="s">
        <v>94</v>
      </c>
      <c r="G122" s="74" t="s">
        <v>144</v>
      </c>
      <c r="H122" s="74" t="s">
        <v>145</v>
      </c>
      <c r="I122" s="74">
        <v>-287704</v>
      </c>
      <c r="J122" s="74"/>
      <c r="K122" s="74"/>
      <c r="L122" s="74"/>
      <c r="M122" s="74">
        <v>-287704</v>
      </c>
      <c r="N122" s="74"/>
      <c r="O122" s="74"/>
      <c r="P122" s="74"/>
      <c r="Q122" s="74"/>
      <c r="R122" s="74"/>
      <c r="S122" s="74"/>
      <c r="T122" s="74"/>
      <c r="U122" s="85"/>
      <c r="V122" s="126"/>
      <c r="W122" s="126"/>
      <c r="X122" s="126"/>
      <c r="Y122" s="126"/>
      <c r="Z122" s="126"/>
      <c r="AA122" s="126"/>
      <c r="AB122"/>
      <c r="AC122"/>
      <c r="AD122"/>
      <c r="AE122"/>
      <c r="AF122"/>
      <c r="AG122"/>
      <c r="AH122"/>
      <c r="AI122"/>
      <c r="AJ122"/>
      <c r="AK122"/>
      <c r="AL122"/>
      <c r="AM122"/>
      <c r="AN122"/>
      <c r="AO122"/>
      <c r="AP122"/>
      <c r="AQ122"/>
      <c r="AR122"/>
    </row>
    <row r="123" spans="1:44">
      <c r="A123" s="74" t="s">
        <v>95</v>
      </c>
      <c r="B123" s="74" t="s">
        <v>87</v>
      </c>
      <c r="C123" s="74" t="s">
        <v>134</v>
      </c>
      <c r="D123" s="74" t="s">
        <v>88</v>
      </c>
      <c r="E123" s="74" t="s">
        <v>112</v>
      </c>
      <c r="F123" s="74" t="s">
        <v>95</v>
      </c>
      <c r="G123" s="74"/>
      <c r="H123" s="74" t="s">
        <v>128</v>
      </c>
      <c r="I123" s="74">
        <v>132200</v>
      </c>
      <c r="J123" s="74"/>
      <c r="K123" s="74"/>
      <c r="L123" s="74"/>
      <c r="M123" s="74">
        <v>132200</v>
      </c>
      <c r="N123" s="74"/>
      <c r="O123" s="74"/>
      <c r="P123" s="74"/>
      <c r="Q123" s="74"/>
      <c r="R123" s="74"/>
      <c r="S123" s="74"/>
      <c r="T123" s="74"/>
      <c r="U123" s="85"/>
      <c r="V123" s="126"/>
      <c r="W123" s="126"/>
      <c r="X123" s="126"/>
      <c r="Y123" s="126"/>
      <c r="Z123" s="126"/>
      <c r="AA123" s="126"/>
      <c r="AB123"/>
      <c r="AC123"/>
      <c r="AD123"/>
      <c r="AE123"/>
      <c r="AF123"/>
      <c r="AG123"/>
      <c r="AH123"/>
      <c r="AI123"/>
      <c r="AJ123"/>
      <c r="AK123"/>
      <c r="AL123"/>
      <c r="AM123"/>
      <c r="AN123"/>
      <c r="AO123"/>
      <c r="AP123"/>
      <c r="AQ123"/>
      <c r="AR123"/>
    </row>
    <row r="124" spans="1:44">
      <c r="A124" s="74" t="s">
        <v>95</v>
      </c>
      <c r="B124" s="74" t="s">
        <v>87</v>
      </c>
      <c r="C124" s="74" t="s">
        <v>135</v>
      </c>
      <c r="D124" s="74" t="s">
        <v>88</v>
      </c>
      <c r="E124" s="74" t="s">
        <v>112</v>
      </c>
      <c r="F124" s="74" t="s">
        <v>95</v>
      </c>
      <c r="G124" s="74"/>
      <c r="H124" s="74" t="s">
        <v>128</v>
      </c>
      <c r="I124" s="74">
        <v>73889</v>
      </c>
      <c r="J124" s="74"/>
      <c r="K124" s="74"/>
      <c r="L124" s="74"/>
      <c r="M124" s="74">
        <v>73889</v>
      </c>
      <c r="N124" s="74"/>
      <c r="O124" s="74"/>
      <c r="P124" s="74"/>
      <c r="Q124" s="74"/>
      <c r="R124" s="74"/>
      <c r="S124" s="74"/>
      <c r="T124" s="74"/>
      <c r="U124" s="85"/>
      <c r="V124" s="126"/>
      <c r="W124" s="126"/>
      <c r="X124" s="126"/>
      <c r="Y124" s="126"/>
      <c r="Z124" s="126"/>
      <c r="AA124" s="126"/>
      <c r="AB124"/>
      <c r="AC124"/>
      <c r="AD124"/>
      <c r="AE124"/>
      <c r="AF124"/>
      <c r="AG124"/>
      <c r="AH124"/>
      <c r="AI124"/>
      <c r="AJ124"/>
      <c r="AK124"/>
      <c r="AL124"/>
      <c r="AM124"/>
      <c r="AN124"/>
      <c r="AO124"/>
      <c r="AP124"/>
      <c r="AQ124"/>
      <c r="AR124"/>
    </row>
    <row r="125" spans="1:44">
      <c r="A125" s="74" t="s">
        <v>95</v>
      </c>
      <c r="B125" s="74" t="s">
        <v>87</v>
      </c>
      <c r="C125" s="74" t="s">
        <v>136</v>
      </c>
      <c r="D125" s="74" t="s">
        <v>104</v>
      </c>
      <c r="E125" s="74" t="s">
        <v>112</v>
      </c>
      <c r="F125" s="74" t="s">
        <v>95</v>
      </c>
      <c r="G125" s="74"/>
      <c r="H125" s="74" t="s">
        <v>130</v>
      </c>
      <c r="I125" s="74">
        <v>25000</v>
      </c>
      <c r="J125" s="74"/>
      <c r="K125" s="74"/>
      <c r="L125" s="74"/>
      <c r="M125" s="74"/>
      <c r="N125" s="74"/>
      <c r="O125" s="74"/>
      <c r="P125" s="74"/>
      <c r="Q125" s="74"/>
      <c r="R125" s="74"/>
      <c r="S125" s="74"/>
      <c r="T125" s="74"/>
      <c r="U125" s="85"/>
      <c r="V125" s="126">
        <v>25000</v>
      </c>
      <c r="W125" s="126"/>
      <c r="X125" s="126"/>
      <c r="Y125" s="126"/>
      <c r="Z125" s="126"/>
      <c r="AA125" s="126"/>
      <c r="AB125"/>
      <c r="AC125"/>
      <c r="AD125"/>
      <c r="AE125"/>
      <c r="AF125"/>
      <c r="AG125"/>
      <c r="AH125"/>
      <c r="AI125"/>
      <c r="AJ125"/>
      <c r="AK125"/>
      <c r="AL125"/>
      <c r="AM125"/>
      <c r="AN125"/>
      <c r="AO125"/>
      <c r="AP125"/>
      <c r="AQ125"/>
      <c r="AR125"/>
    </row>
    <row r="126" spans="1:44">
      <c r="A126" s="74" t="s">
        <v>95</v>
      </c>
      <c r="B126" s="74" t="s">
        <v>108</v>
      </c>
      <c r="C126" s="74" t="s">
        <v>132</v>
      </c>
      <c r="D126" s="74" t="s">
        <v>112</v>
      </c>
      <c r="E126" s="74" t="s">
        <v>107</v>
      </c>
      <c r="F126" s="74" t="s">
        <v>95</v>
      </c>
      <c r="G126" s="74" t="s">
        <v>109</v>
      </c>
      <c r="H126" s="74" t="s">
        <v>133</v>
      </c>
      <c r="I126" s="74">
        <v>-151000</v>
      </c>
      <c r="J126" s="74"/>
      <c r="K126" s="74"/>
      <c r="L126" s="74"/>
      <c r="M126" s="74"/>
      <c r="N126" s="74"/>
      <c r="O126" s="74"/>
      <c r="P126" s="74"/>
      <c r="Q126" s="74"/>
      <c r="R126" s="74"/>
      <c r="S126" s="74"/>
      <c r="T126" s="74"/>
      <c r="U126" s="85"/>
      <c r="V126" s="126">
        <v>-151000</v>
      </c>
      <c r="W126" s="126"/>
      <c r="X126" s="126"/>
      <c r="Y126" s="126"/>
      <c r="Z126" s="126"/>
      <c r="AA126" s="126"/>
      <c r="AB126"/>
      <c r="AC126"/>
      <c r="AD126"/>
      <c r="AE126"/>
      <c r="AF126"/>
      <c r="AG126"/>
      <c r="AH126"/>
      <c r="AI126"/>
      <c r="AJ126"/>
      <c r="AK126"/>
      <c r="AL126"/>
      <c r="AM126"/>
      <c r="AN126"/>
      <c r="AO126"/>
      <c r="AP126"/>
      <c r="AQ126"/>
      <c r="AR126"/>
    </row>
    <row r="127" spans="1:44">
      <c r="A127" s="80" t="s">
        <v>95</v>
      </c>
      <c r="B127" s="80" t="s">
        <v>103</v>
      </c>
      <c r="C127" s="80" t="s">
        <v>162</v>
      </c>
      <c r="D127" s="80" t="s">
        <v>88</v>
      </c>
      <c r="E127" s="80" t="s">
        <v>112</v>
      </c>
      <c r="F127" s="80" t="s">
        <v>95</v>
      </c>
      <c r="G127" s="80" t="s">
        <v>163</v>
      </c>
      <c r="H127" s="80" t="s">
        <v>164</v>
      </c>
      <c r="I127" s="80">
        <v>105353</v>
      </c>
      <c r="J127" s="80"/>
      <c r="K127" s="80"/>
      <c r="L127" s="80"/>
      <c r="M127" s="80">
        <v>105353</v>
      </c>
      <c r="N127" s="80"/>
      <c r="O127" s="80"/>
      <c r="P127" s="80"/>
      <c r="Q127" s="80"/>
      <c r="R127" s="80"/>
      <c r="S127" s="80"/>
      <c r="T127" s="80"/>
      <c r="U127" s="85"/>
      <c r="V127" s="126"/>
      <c r="W127" s="126"/>
      <c r="X127" s="126"/>
      <c r="Y127" s="126"/>
      <c r="Z127" s="126"/>
      <c r="AA127" s="126"/>
      <c r="AB127"/>
      <c r="AC127"/>
      <c r="AD127"/>
      <c r="AE127"/>
      <c r="AF127"/>
      <c r="AG127"/>
      <c r="AH127"/>
      <c r="AI127"/>
      <c r="AJ127"/>
      <c r="AK127"/>
      <c r="AL127"/>
      <c r="AM127"/>
      <c r="AN127"/>
      <c r="AO127"/>
      <c r="AP127"/>
      <c r="AQ127"/>
      <c r="AR127"/>
    </row>
    <row r="128" spans="1:44">
      <c r="A128" s="80" t="s">
        <v>95</v>
      </c>
      <c r="B128" s="80" t="s">
        <v>103</v>
      </c>
      <c r="C128" s="80" t="s">
        <v>166</v>
      </c>
      <c r="D128" s="80" t="s">
        <v>88</v>
      </c>
      <c r="E128" s="80" t="s">
        <v>112</v>
      </c>
      <c r="F128" s="80" t="s">
        <v>95</v>
      </c>
      <c r="G128" s="80" t="s">
        <v>163</v>
      </c>
      <c r="H128" s="80" t="s">
        <v>164</v>
      </c>
      <c r="I128" s="80">
        <v>97311</v>
      </c>
      <c r="J128" s="80"/>
      <c r="K128" s="80"/>
      <c r="L128" s="80"/>
      <c r="M128" s="80">
        <v>97311</v>
      </c>
      <c r="N128" s="80"/>
      <c r="O128" s="80"/>
      <c r="P128" s="80"/>
      <c r="Q128" s="80"/>
      <c r="R128" s="80"/>
      <c r="S128" s="80"/>
      <c r="T128" s="80"/>
      <c r="U128" s="85"/>
      <c r="V128" s="126"/>
      <c r="W128" s="126"/>
      <c r="X128" s="126"/>
      <c r="Y128" s="126"/>
      <c r="Z128" s="126"/>
      <c r="AA128" s="126"/>
      <c r="AF128"/>
      <c r="AG128"/>
      <c r="AH128"/>
      <c r="AI128"/>
      <c r="AJ128"/>
      <c r="AK128"/>
      <c r="AL128"/>
      <c r="AM128"/>
      <c r="AN128"/>
      <c r="AO128"/>
      <c r="AP128"/>
      <c r="AQ128"/>
      <c r="AR128"/>
    </row>
    <row r="129" spans="1:44">
      <c r="A129" s="82" t="s">
        <v>95</v>
      </c>
      <c r="B129" s="82" t="s">
        <v>103</v>
      </c>
      <c r="C129" s="82" t="s">
        <v>167</v>
      </c>
      <c r="D129" s="82" t="s">
        <v>88</v>
      </c>
      <c r="E129" s="82" t="s">
        <v>112</v>
      </c>
      <c r="F129" s="82" t="s">
        <v>95</v>
      </c>
      <c r="G129" s="82" t="s">
        <v>150</v>
      </c>
      <c r="H129" s="82" t="s">
        <v>168</v>
      </c>
      <c r="I129" s="82">
        <v>125541</v>
      </c>
      <c r="J129" s="82"/>
      <c r="K129" s="82"/>
      <c r="L129" s="82">
        <v>125541</v>
      </c>
      <c r="M129" s="82"/>
      <c r="N129" s="82"/>
      <c r="O129" s="82"/>
      <c r="P129" s="82"/>
      <c r="Q129" s="82"/>
      <c r="R129" s="82"/>
      <c r="S129" s="82"/>
      <c r="T129" s="82"/>
      <c r="U129" s="85"/>
      <c r="V129" s="126"/>
      <c r="W129" s="126"/>
      <c r="X129" s="126"/>
      <c r="Y129" s="126"/>
      <c r="Z129" s="126"/>
      <c r="AA129" s="126"/>
      <c r="AL129"/>
      <c r="AM129"/>
      <c r="AN129"/>
      <c r="AO129"/>
      <c r="AP129"/>
      <c r="AQ129"/>
      <c r="AR129"/>
    </row>
    <row r="130" spans="1:44">
      <c r="A130" s="87" t="s">
        <v>95</v>
      </c>
      <c r="B130" s="87" t="s">
        <v>103</v>
      </c>
      <c r="C130" s="87" t="s">
        <v>170</v>
      </c>
      <c r="D130" s="87" t="s">
        <v>88</v>
      </c>
      <c r="E130" s="87" t="s">
        <v>112</v>
      </c>
      <c r="F130" s="87" t="s">
        <v>95</v>
      </c>
      <c r="G130" s="87" t="s">
        <v>165</v>
      </c>
      <c r="H130" s="87" t="s">
        <v>168</v>
      </c>
      <c r="I130" s="87">
        <v>252000</v>
      </c>
      <c r="J130" s="87"/>
      <c r="K130" s="87"/>
      <c r="L130" s="87">
        <v>252000</v>
      </c>
      <c r="M130" s="87"/>
      <c r="N130" s="87"/>
      <c r="O130" s="87"/>
      <c r="P130" s="87"/>
      <c r="Q130" s="87"/>
      <c r="R130" s="87"/>
      <c r="S130" s="87"/>
      <c r="T130" s="87"/>
      <c r="U130" s="87"/>
      <c r="V130" s="126"/>
      <c r="W130" s="126"/>
      <c r="X130" s="126"/>
      <c r="Y130" s="126"/>
      <c r="Z130" s="126"/>
      <c r="AA130" s="126"/>
    </row>
    <row r="131" spans="1:44">
      <c r="A131" s="87" t="s">
        <v>95</v>
      </c>
      <c r="B131" s="87" t="s">
        <v>103</v>
      </c>
      <c r="C131" s="87" t="s">
        <v>155</v>
      </c>
      <c r="D131" s="87" t="s">
        <v>88</v>
      </c>
      <c r="E131" s="87" t="s">
        <v>112</v>
      </c>
      <c r="F131" s="87" t="s">
        <v>95</v>
      </c>
      <c r="G131" s="87" t="s">
        <v>156</v>
      </c>
      <c r="H131" s="87" t="s">
        <v>157</v>
      </c>
      <c r="I131" s="87">
        <v>357078.19</v>
      </c>
      <c r="J131" s="87"/>
      <c r="K131" s="87"/>
      <c r="L131" s="87"/>
      <c r="M131" s="87"/>
      <c r="N131" s="87"/>
      <c r="O131" s="87"/>
      <c r="P131" s="87"/>
      <c r="Q131" s="87"/>
      <c r="R131" s="87">
        <v>357078.19</v>
      </c>
      <c r="S131" s="87"/>
      <c r="T131" s="87"/>
      <c r="U131" s="87"/>
      <c r="V131" s="126"/>
      <c r="W131" s="126"/>
      <c r="X131" s="126"/>
      <c r="Y131" s="126"/>
      <c r="Z131" s="126"/>
      <c r="AA131" s="126"/>
    </row>
    <row r="132" spans="1:44">
      <c r="A132" s="87" t="s">
        <v>95</v>
      </c>
      <c r="B132" s="87" t="s">
        <v>99</v>
      </c>
      <c r="C132" s="87" t="s">
        <v>167</v>
      </c>
      <c r="D132" s="87" t="s">
        <v>112</v>
      </c>
      <c r="E132" s="87" t="s">
        <v>88</v>
      </c>
      <c r="F132" s="87" t="s">
        <v>95</v>
      </c>
      <c r="G132" s="87" t="s">
        <v>150</v>
      </c>
      <c r="H132" s="87" t="s">
        <v>169</v>
      </c>
      <c r="I132" s="87">
        <v>-139490</v>
      </c>
      <c r="J132" s="87"/>
      <c r="K132" s="87"/>
      <c r="L132" s="87"/>
      <c r="M132" s="87"/>
      <c r="N132" s="87"/>
      <c r="O132" s="87"/>
      <c r="P132" s="87"/>
      <c r="Q132" s="87"/>
      <c r="R132" s="87">
        <v>-139490</v>
      </c>
      <c r="S132" s="87"/>
      <c r="T132" s="87"/>
      <c r="U132" s="87"/>
      <c r="V132" s="126"/>
      <c r="W132" s="126"/>
      <c r="X132" s="126"/>
      <c r="Y132" s="126"/>
      <c r="Z132" s="126"/>
      <c r="AA132" s="126"/>
    </row>
    <row r="133" spans="1:44">
      <c r="A133" s="87" t="s">
        <v>95</v>
      </c>
      <c r="B133" s="87" t="s">
        <v>99</v>
      </c>
      <c r="C133" s="87" t="s">
        <v>170</v>
      </c>
      <c r="D133" s="87" t="s">
        <v>112</v>
      </c>
      <c r="E133" s="87" t="s">
        <v>88</v>
      </c>
      <c r="F133" s="87" t="s">
        <v>95</v>
      </c>
      <c r="G133" s="87" t="s">
        <v>165</v>
      </c>
      <c r="H133" s="87" t="s">
        <v>169</v>
      </c>
      <c r="I133" s="87">
        <v>-280000</v>
      </c>
      <c r="J133" s="87"/>
      <c r="K133" s="87"/>
      <c r="L133" s="87"/>
      <c r="M133" s="87"/>
      <c r="N133" s="87"/>
      <c r="O133" s="87"/>
      <c r="P133" s="87"/>
      <c r="Q133" s="87"/>
      <c r="R133" s="87">
        <v>-280000</v>
      </c>
      <c r="S133" s="87"/>
      <c r="T133" s="87"/>
      <c r="U133" s="87"/>
      <c r="V133" s="126"/>
      <c r="W133" s="126"/>
      <c r="X133" s="126"/>
      <c r="Y133" s="126"/>
      <c r="Z133" s="126"/>
      <c r="AA133" s="126"/>
    </row>
    <row r="134" spans="1:44">
      <c r="A134" s="16" t="s">
        <v>95</v>
      </c>
      <c r="B134" s="16" t="s">
        <v>99</v>
      </c>
      <c r="C134" s="16" t="s">
        <v>146</v>
      </c>
      <c r="D134" s="16" t="s">
        <v>112</v>
      </c>
      <c r="E134" s="16" t="s">
        <v>88</v>
      </c>
      <c r="F134" s="16" t="s">
        <v>95</v>
      </c>
      <c r="G134" s="16" t="s">
        <v>147</v>
      </c>
      <c r="H134" s="16" t="s">
        <v>145</v>
      </c>
      <c r="I134" s="16">
        <v>-492513</v>
      </c>
      <c r="M134" s="16">
        <v>-492513</v>
      </c>
      <c r="V134" s="126"/>
      <c r="W134" s="126"/>
      <c r="X134" s="126"/>
      <c r="Y134" s="126"/>
      <c r="Z134" s="126"/>
      <c r="AA134" s="126"/>
    </row>
    <row r="135" spans="1:44">
      <c r="A135" s="16" t="s">
        <v>95</v>
      </c>
      <c r="B135" s="16" t="s">
        <v>99</v>
      </c>
      <c r="C135" s="16" t="s">
        <v>171</v>
      </c>
      <c r="D135" s="16" t="s">
        <v>112</v>
      </c>
      <c r="E135" s="16" t="s">
        <v>88</v>
      </c>
      <c r="F135" s="16" t="s">
        <v>95</v>
      </c>
      <c r="G135" s="16" t="s">
        <v>172</v>
      </c>
      <c r="H135" s="16" t="s">
        <v>145</v>
      </c>
      <c r="I135" s="16">
        <v>-110154.04</v>
      </c>
      <c r="M135" s="16">
        <v>-110154.04</v>
      </c>
      <c r="V135" s="126"/>
      <c r="W135" s="126"/>
      <c r="X135" s="126"/>
      <c r="Y135" s="126"/>
      <c r="Z135" s="126"/>
      <c r="AA135" s="126"/>
    </row>
    <row r="136" spans="1:44">
      <c r="A136" s="16" t="s">
        <v>173</v>
      </c>
      <c r="B136" s="16" t="s">
        <v>86</v>
      </c>
      <c r="C136" s="16" t="s">
        <v>178</v>
      </c>
      <c r="D136" s="16" t="s">
        <v>112</v>
      </c>
      <c r="E136" s="16" t="s">
        <v>88</v>
      </c>
      <c r="F136" s="16" t="s">
        <v>148</v>
      </c>
      <c r="G136" s="16" t="s">
        <v>179</v>
      </c>
      <c r="H136" s="16" t="s">
        <v>180</v>
      </c>
      <c r="I136" s="16">
        <v>-156283</v>
      </c>
      <c r="R136" s="16">
        <v>-156283</v>
      </c>
      <c r="V136" s="126"/>
      <c r="W136" s="126"/>
      <c r="X136" s="126"/>
      <c r="Y136" s="126"/>
      <c r="Z136" s="126"/>
      <c r="AA136" s="126"/>
    </row>
    <row r="137" spans="1:44">
      <c r="A137" s="16" t="s">
        <v>173</v>
      </c>
      <c r="B137" s="16" t="s">
        <v>103</v>
      </c>
      <c r="C137" s="16" t="s">
        <v>176</v>
      </c>
      <c r="D137" s="16" t="s">
        <v>88</v>
      </c>
      <c r="E137" s="16" t="s">
        <v>112</v>
      </c>
      <c r="F137" s="16" t="s">
        <v>173</v>
      </c>
      <c r="G137" s="16" t="s">
        <v>175</v>
      </c>
      <c r="H137" s="16" t="s">
        <v>168</v>
      </c>
      <c r="I137" s="16">
        <v>351929</v>
      </c>
      <c r="L137" s="16">
        <v>351929</v>
      </c>
      <c r="V137" s="126"/>
      <c r="W137" s="126"/>
      <c r="X137" s="126"/>
      <c r="Y137" s="126"/>
      <c r="Z137" s="126"/>
      <c r="AA137" s="126"/>
    </row>
    <row r="138" spans="1:44">
      <c r="A138" s="88" t="s">
        <v>173</v>
      </c>
      <c r="B138" s="88" t="s">
        <v>103</v>
      </c>
      <c r="C138" s="88" t="s">
        <v>183</v>
      </c>
      <c r="D138" s="88" t="s">
        <v>88</v>
      </c>
      <c r="E138" s="88" t="s">
        <v>112</v>
      </c>
      <c r="F138" s="88" t="s">
        <v>173</v>
      </c>
      <c r="G138" s="88" t="s">
        <v>177</v>
      </c>
      <c r="H138" s="88" t="s">
        <v>168</v>
      </c>
      <c r="I138" s="88">
        <v>129600</v>
      </c>
      <c r="J138" s="88"/>
      <c r="K138" s="88"/>
      <c r="L138" s="88">
        <v>129600</v>
      </c>
      <c r="M138" s="88"/>
      <c r="N138" s="88"/>
      <c r="O138" s="88"/>
      <c r="P138" s="88"/>
      <c r="Q138" s="88"/>
      <c r="R138" s="88"/>
      <c r="S138" s="88"/>
      <c r="T138" s="88"/>
      <c r="U138" s="88"/>
      <c r="V138" s="126"/>
      <c r="W138" s="126"/>
      <c r="X138" s="126"/>
      <c r="Y138" s="126"/>
      <c r="Z138" s="126"/>
      <c r="AA138" s="126"/>
    </row>
    <row r="139" spans="1:44">
      <c r="A139" s="88" t="s">
        <v>173</v>
      </c>
      <c r="B139" s="88" t="s">
        <v>103</v>
      </c>
      <c r="C139" s="88" t="s">
        <v>171</v>
      </c>
      <c r="D139" s="88" t="s">
        <v>88</v>
      </c>
      <c r="E139" s="88" t="s">
        <v>112</v>
      </c>
      <c r="F139" s="88" t="s">
        <v>173</v>
      </c>
      <c r="G139" s="88" t="s">
        <v>172</v>
      </c>
      <c r="H139" s="88" t="s">
        <v>174</v>
      </c>
      <c r="I139" s="88">
        <v>110154.04</v>
      </c>
      <c r="J139" s="88"/>
      <c r="K139" s="88"/>
      <c r="L139" s="88"/>
      <c r="M139" s="88"/>
      <c r="N139" s="88"/>
      <c r="O139" s="88"/>
      <c r="P139" s="88"/>
      <c r="Q139" s="88"/>
      <c r="R139" s="88">
        <v>110154.04</v>
      </c>
      <c r="S139" s="88"/>
      <c r="T139" s="88"/>
      <c r="U139" s="88"/>
      <c r="V139" s="126"/>
      <c r="W139" s="126"/>
      <c r="X139" s="126"/>
      <c r="Y139" s="126"/>
      <c r="Z139" s="126"/>
      <c r="AA139" s="126"/>
    </row>
    <row r="140" spans="1:44">
      <c r="A140" s="16" t="s">
        <v>173</v>
      </c>
      <c r="B140" s="16" t="s">
        <v>99</v>
      </c>
      <c r="C140" s="16" t="s">
        <v>176</v>
      </c>
      <c r="D140" s="16" t="s">
        <v>112</v>
      </c>
      <c r="E140" s="16" t="s">
        <v>88</v>
      </c>
      <c r="F140" s="16" t="s">
        <v>173</v>
      </c>
      <c r="G140" s="16" t="s">
        <v>175</v>
      </c>
      <c r="H140" s="16" t="s">
        <v>169</v>
      </c>
      <c r="I140" s="16">
        <v>-391032</v>
      </c>
      <c r="R140" s="16">
        <v>-391032</v>
      </c>
      <c r="V140" s="126"/>
      <c r="W140" s="126"/>
      <c r="X140" s="126"/>
      <c r="Y140" s="126"/>
      <c r="Z140" s="126"/>
      <c r="AA140" s="126"/>
    </row>
    <row r="141" spans="1:44">
      <c r="A141" s="16" t="s">
        <v>173</v>
      </c>
      <c r="B141" s="16" t="s">
        <v>99</v>
      </c>
      <c r="C141" s="16" t="s">
        <v>183</v>
      </c>
      <c r="D141" s="16" t="s">
        <v>112</v>
      </c>
      <c r="E141" s="16" t="s">
        <v>88</v>
      </c>
      <c r="F141" s="16" t="s">
        <v>173</v>
      </c>
      <c r="G141" s="16" t="s">
        <v>177</v>
      </c>
      <c r="H141" s="16" t="s">
        <v>168</v>
      </c>
      <c r="I141" s="16">
        <v>-144000</v>
      </c>
      <c r="Q141" s="16">
        <v>-144000</v>
      </c>
      <c r="V141" s="126"/>
      <c r="W141" s="126"/>
      <c r="X141" s="126"/>
      <c r="Y141" s="126"/>
      <c r="Z141" s="126"/>
      <c r="AA141" s="126"/>
    </row>
    <row r="142" spans="1:44">
      <c r="A142" s="16" t="s">
        <v>148</v>
      </c>
      <c r="B142" s="16" t="s">
        <v>106</v>
      </c>
      <c r="C142" s="16" t="s">
        <v>181</v>
      </c>
      <c r="D142" s="16" t="s">
        <v>88</v>
      </c>
      <c r="E142" s="16" t="s">
        <v>112</v>
      </c>
      <c r="F142" s="16" t="s">
        <v>182</v>
      </c>
      <c r="G142" s="16" t="s">
        <v>179</v>
      </c>
      <c r="H142" s="16" t="s">
        <v>180</v>
      </c>
      <c r="I142" s="16">
        <v>287000</v>
      </c>
      <c r="R142" s="16">
        <v>287000</v>
      </c>
      <c r="V142" s="126"/>
      <c r="W142" s="126"/>
      <c r="X142" s="126"/>
      <c r="Y142" s="126"/>
      <c r="Z142" s="126"/>
      <c r="AA142" s="126"/>
    </row>
    <row r="143" spans="1:44">
      <c r="A143" s="16" t="s">
        <v>148</v>
      </c>
      <c r="B143" s="16" t="s">
        <v>86</v>
      </c>
      <c r="C143" s="16" t="s">
        <v>185</v>
      </c>
      <c r="D143" s="16" t="s">
        <v>112</v>
      </c>
      <c r="E143" s="16" t="s">
        <v>88</v>
      </c>
      <c r="F143" s="16" t="s">
        <v>186</v>
      </c>
      <c r="G143" s="16" t="s">
        <v>187</v>
      </c>
      <c r="H143" s="16" t="s">
        <v>128</v>
      </c>
      <c r="I143" s="16">
        <v>-28364.55</v>
      </c>
      <c r="M143" s="16">
        <v>-28364.55</v>
      </c>
      <c r="V143" s="126"/>
      <c r="W143" s="126"/>
      <c r="X143" s="126"/>
      <c r="Y143" s="126"/>
      <c r="Z143" s="126"/>
      <c r="AA143" s="126"/>
    </row>
    <row r="144" spans="1:44">
      <c r="A144" s="16" t="s">
        <v>148</v>
      </c>
      <c r="B144" s="16" t="s">
        <v>86</v>
      </c>
      <c r="C144" s="16" t="s">
        <v>185</v>
      </c>
      <c r="D144" s="16" t="s">
        <v>112</v>
      </c>
      <c r="E144" s="16" t="s">
        <v>88</v>
      </c>
      <c r="F144" s="16" t="s">
        <v>186</v>
      </c>
      <c r="G144" s="16" t="s">
        <v>184</v>
      </c>
      <c r="H144" s="16" t="s">
        <v>180</v>
      </c>
      <c r="I144" s="16">
        <v>-1195568</v>
      </c>
      <c r="R144" s="16">
        <v>-1195568</v>
      </c>
      <c r="V144" s="126"/>
      <c r="W144" s="126"/>
      <c r="X144" s="126"/>
      <c r="Y144" s="126"/>
      <c r="Z144" s="126"/>
      <c r="AA144" s="126"/>
    </row>
    <row r="145" spans="1:27">
      <c r="A145" s="16" t="s">
        <v>148</v>
      </c>
      <c r="B145" s="16" t="s">
        <v>87</v>
      </c>
      <c r="C145" s="16" t="s">
        <v>178</v>
      </c>
      <c r="D145" s="16" t="s">
        <v>88</v>
      </c>
      <c r="E145" s="16" t="s">
        <v>112</v>
      </c>
      <c r="F145" s="16" t="s">
        <v>148</v>
      </c>
      <c r="G145" s="16" t="s">
        <v>179</v>
      </c>
      <c r="H145" s="16" t="s">
        <v>180</v>
      </c>
      <c r="I145" s="16">
        <v>156283</v>
      </c>
      <c r="R145" s="16">
        <v>156283</v>
      </c>
      <c r="V145" s="126"/>
      <c r="W145" s="126"/>
      <c r="X145" s="126"/>
      <c r="Y145" s="126"/>
      <c r="Z145" s="126"/>
      <c r="AA145" s="126"/>
    </row>
    <row r="146" spans="1:27">
      <c r="A146" s="16" t="s">
        <v>148</v>
      </c>
      <c r="B146" s="16" t="s">
        <v>87</v>
      </c>
      <c r="C146" s="16" t="s">
        <v>136</v>
      </c>
      <c r="D146" s="16" t="s">
        <v>104</v>
      </c>
      <c r="E146" s="16" t="s">
        <v>112</v>
      </c>
      <c r="F146" s="16" t="s">
        <v>148</v>
      </c>
      <c r="H146" s="16" t="s">
        <v>130</v>
      </c>
      <c r="I146" s="16">
        <v>171124</v>
      </c>
      <c r="R146" s="16">
        <v>171124</v>
      </c>
      <c r="V146" s="126"/>
      <c r="W146" s="126"/>
      <c r="X146" s="126"/>
      <c r="Y146" s="126"/>
      <c r="Z146" s="126"/>
      <c r="AA146" s="126"/>
    </row>
    <row r="147" spans="1:27">
      <c r="A147" s="16" t="s">
        <v>186</v>
      </c>
      <c r="B147" s="16" t="s">
        <v>106</v>
      </c>
      <c r="C147" s="16" t="s">
        <v>188</v>
      </c>
      <c r="D147" s="16" t="s">
        <v>88</v>
      </c>
      <c r="E147" s="16" t="s">
        <v>112</v>
      </c>
      <c r="F147" s="16" t="s">
        <v>182</v>
      </c>
      <c r="G147" s="16" t="s">
        <v>189</v>
      </c>
      <c r="H147" s="16" t="s">
        <v>190</v>
      </c>
      <c r="I147" s="16">
        <v>98062</v>
      </c>
      <c r="Q147" s="16">
        <v>98062</v>
      </c>
      <c r="V147" s="126"/>
      <c r="W147" s="126"/>
      <c r="X147" s="126"/>
      <c r="Y147" s="126"/>
      <c r="Z147" s="126"/>
      <c r="AA147" s="126"/>
    </row>
    <row r="148" spans="1:27">
      <c r="A148" s="16" t="s">
        <v>186</v>
      </c>
      <c r="B148" s="16" t="s">
        <v>86</v>
      </c>
      <c r="C148" s="16" t="s">
        <v>191</v>
      </c>
      <c r="D148" s="16" t="s">
        <v>112</v>
      </c>
      <c r="E148" s="16" t="s">
        <v>88</v>
      </c>
      <c r="F148" s="16" t="s">
        <v>182</v>
      </c>
      <c r="G148" s="16" t="s">
        <v>192</v>
      </c>
      <c r="H148" s="16" t="s">
        <v>128</v>
      </c>
      <c r="I148" s="16">
        <v>-46709.63</v>
      </c>
      <c r="M148" s="16">
        <v>-46709.63</v>
      </c>
      <c r="V148" s="126"/>
      <c r="W148" s="126"/>
      <c r="X148" s="126"/>
      <c r="Y148" s="126"/>
      <c r="Z148" s="126"/>
      <c r="AA148" s="126"/>
    </row>
    <row r="149" spans="1:27">
      <c r="A149" s="16" t="s">
        <v>186</v>
      </c>
      <c r="B149" s="16" t="s">
        <v>87</v>
      </c>
      <c r="C149" s="16" t="s">
        <v>185</v>
      </c>
      <c r="D149" s="16" t="s">
        <v>88</v>
      </c>
      <c r="E149" s="16" t="s">
        <v>112</v>
      </c>
      <c r="F149" s="16" t="s">
        <v>186</v>
      </c>
      <c r="G149" s="16" t="s">
        <v>187</v>
      </c>
      <c r="H149" s="16" t="s">
        <v>128</v>
      </c>
      <c r="I149" s="16">
        <v>28364.55</v>
      </c>
      <c r="M149" s="16">
        <v>28364.55</v>
      </c>
      <c r="V149" s="126"/>
      <c r="W149" s="126"/>
      <c r="X149" s="126"/>
      <c r="Y149" s="126"/>
      <c r="Z149" s="126"/>
      <c r="AA149" s="126"/>
    </row>
    <row r="150" spans="1:27">
      <c r="A150" s="16" t="s">
        <v>186</v>
      </c>
      <c r="B150" s="16" t="s">
        <v>87</v>
      </c>
      <c r="C150" s="16" t="s">
        <v>185</v>
      </c>
      <c r="D150" s="16" t="s">
        <v>88</v>
      </c>
      <c r="E150" s="16" t="s">
        <v>112</v>
      </c>
      <c r="F150" s="16" t="s">
        <v>186</v>
      </c>
      <c r="G150" s="16" t="s">
        <v>184</v>
      </c>
      <c r="H150" s="16" t="s">
        <v>180</v>
      </c>
      <c r="I150" s="16">
        <v>1195568</v>
      </c>
      <c r="R150" s="16">
        <v>1195568</v>
      </c>
      <c r="V150" s="126"/>
      <c r="W150" s="126"/>
      <c r="X150" s="126"/>
      <c r="Y150" s="126"/>
      <c r="Z150" s="126"/>
      <c r="AA150" s="126"/>
    </row>
    <row r="151" spans="1:27">
      <c r="A151" s="16" t="s">
        <v>186</v>
      </c>
      <c r="B151" s="16" t="s">
        <v>103</v>
      </c>
      <c r="C151" s="16" t="s">
        <v>193</v>
      </c>
      <c r="D151" s="16" t="s">
        <v>88</v>
      </c>
      <c r="E151" s="16" t="s">
        <v>112</v>
      </c>
      <c r="F151" s="16" t="s">
        <v>186</v>
      </c>
      <c r="G151" s="16" t="s">
        <v>194</v>
      </c>
      <c r="H151" s="16" t="s">
        <v>168</v>
      </c>
      <c r="I151" s="16">
        <v>465113</v>
      </c>
      <c r="L151" s="16">
        <v>465113</v>
      </c>
      <c r="V151" s="126"/>
      <c r="W151" s="126"/>
      <c r="X151" s="126"/>
      <c r="Y151" s="126"/>
      <c r="Z151" s="126"/>
      <c r="AA151" s="126"/>
    </row>
    <row r="152" spans="1:27">
      <c r="A152" s="16" t="s">
        <v>186</v>
      </c>
      <c r="B152" s="16" t="s">
        <v>103</v>
      </c>
      <c r="C152" s="16" t="s">
        <v>195</v>
      </c>
      <c r="D152" s="16" t="s">
        <v>88</v>
      </c>
      <c r="E152" s="16" t="s">
        <v>112</v>
      </c>
      <c r="F152" s="16" t="s">
        <v>186</v>
      </c>
      <c r="G152" s="16" t="s">
        <v>184</v>
      </c>
      <c r="H152" s="16" t="s">
        <v>168</v>
      </c>
      <c r="I152" s="16">
        <v>1125000</v>
      </c>
      <c r="L152" s="16">
        <v>1125000</v>
      </c>
      <c r="V152" s="126"/>
      <c r="W152" s="126"/>
      <c r="X152" s="126"/>
      <c r="Y152" s="126"/>
      <c r="Z152" s="126"/>
      <c r="AA152" s="126"/>
    </row>
    <row r="153" spans="1:27">
      <c r="A153" s="16" t="s">
        <v>186</v>
      </c>
      <c r="B153" s="16" t="s">
        <v>99</v>
      </c>
      <c r="C153" s="16" t="s">
        <v>193</v>
      </c>
      <c r="D153" s="16" t="s">
        <v>112</v>
      </c>
      <c r="E153" s="16" t="s">
        <v>88</v>
      </c>
      <c r="F153" s="16" t="s">
        <v>186</v>
      </c>
      <c r="G153" s="16" t="s">
        <v>194</v>
      </c>
      <c r="H153" s="16" t="s">
        <v>168</v>
      </c>
      <c r="I153" s="16">
        <v>-516792</v>
      </c>
      <c r="Q153" s="16">
        <v>-516792</v>
      </c>
      <c r="V153" s="126"/>
      <c r="W153" s="126"/>
      <c r="X153" s="126"/>
      <c r="Y153" s="126"/>
      <c r="Z153" s="126"/>
      <c r="AA153" s="126"/>
    </row>
    <row r="154" spans="1:27">
      <c r="A154" s="16" t="s">
        <v>186</v>
      </c>
      <c r="B154" s="16" t="s">
        <v>99</v>
      </c>
      <c r="C154" s="16" t="s">
        <v>195</v>
      </c>
      <c r="D154" s="16" t="s">
        <v>112</v>
      </c>
      <c r="E154" s="16" t="s">
        <v>88</v>
      </c>
      <c r="F154" s="16" t="s">
        <v>186</v>
      </c>
      <c r="G154" s="16" t="s">
        <v>184</v>
      </c>
      <c r="H154" s="16" t="s">
        <v>169</v>
      </c>
      <c r="I154" s="16">
        <v>-1250000</v>
      </c>
      <c r="R154" s="16">
        <v>-1250000</v>
      </c>
      <c r="V154" s="126"/>
      <c r="W154" s="126"/>
      <c r="X154" s="126"/>
      <c r="Y154" s="126"/>
      <c r="Z154" s="126"/>
      <c r="AA154" s="126"/>
    </row>
    <row r="155" spans="1:27">
      <c r="A155" s="16" t="s">
        <v>182</v>
      </c>
      <c r="B155" s="16" t="s">
        <v>86</v>
      </c>
      <c r="C155" s="16" t="s">
        <v>240</v>
      </c>
      <c r="D155" s="16" t="s">
        <v>112</v>
      </c>
      <c r="E155" s="16" t="s">
        <v>88</v>
      </c>
      <c r="F155" s="16" t="s">
        <v>196</v>
      </c>
      <c r="G155" s="16" t="s">
        <v>239</v>
      </c>
      <c r="H155" s="16" t="s">
        <v>128</v>
      </c>
      <c r="I155" s="16">
        <v>-59871.24</v>
      </c>
      <c r="M155" s="16">
        <v>-59871.24</v>
      </c>
      <c r="V155" s="126"/>
      <c r="W155" s="126"/>
      <c r="X155" s="126"/>
      <c r="Y155" s="126"/>
      <c r="Z155" s="126"/>
      <c r="AA155" s="126"/>
    </row>
    <row r="156" spans="1:27">
      <c r="A156" s="91" t="s">
        <v>182</v>
      </c>
      <c r="B156" s="91" t="s">
        <v>86</v>
      </c>
      <c r="C156" s="91" t="s">
        <v>241</v>
      </c>
      <c r="D156" s="91" t="s">
        <v>112</v>
      </c>
      <c r="E156" s="91" t="s">
        <v>88</v>
      </c>
      <c r="F156" s="91" t="s">
        <v>196</v>
      </c>
      <c r="G156" s="91" t="s">
        <v>235</v>
      </c>
      <c r="H156" s="91" t="s">
        <v>236</v>
      </c>
      <c r="I156" s="91">
        <v>-111679</v>
      </c>
      <c r="J156" s="91"/>
      <c r="K156" s="91"/>
      <c r="L156" s="91"/>
      <c r="M156" s="91"/>
      <c r="N156" s="91"/>
      <c r="O156" s="91"/>
      <c r="P156" s="91"/>
      <c r="Q156" s="91"/>
      <c r="R156" s="91"/>
      <c r="S156" s="91"/>
      <c r="T156" s="91"/>
      <c r="U156" s="91">
        <v>-111679</v>
      </c>
      <c r="V156" s="126"/>
      <c r="W156" s="126"/>
      <c r="X156" s="126"/>
      <c r="Y156" s="126"/>
      <c r="Z156" s="126"/>
      <c r="AA156" s="126"/>
    </row>
    <row r="157" spans="1:27">
      <c r="A157" s="91" t="s">
        <v>182</v>
      </c>
      <c r="B157" s="91" t="s">
        <v>86</v>
      </c>
      <c r="C157" s="91" t="s">
        <v>241</v>
      </c>
      <c r="D157" s="91" t="s">
        <v>112</v>
      </c>
      <c r="E157" s="91" t="s">
        <v>88</v>
      </c>
      <c r="F157" s="91" t="s">
        <v>196</v>
      </c>
      <c r="G157" s="91" t="s">
        <v>242</v>
      </c>
      <c r="H157" s="91" t="s">
        <v>180</v>
      </c>
      <c r="I157" s="91">
        <v>-36814.28</v>
      </c>
      <c r="J157" s="91"/>
      <c r="K157" s="91"/>
      <c r="L157" s="91"/>
      <c r="M157" s="91"/>
      <c r="N157" s="91"/>
      <c r="O157" s="91"/>
      <c r="P157" s="91"/>
      <c r="Q157" s="91"/>
      <c r="R157" s="91"/>
      <c r="S157" s="91"/>
      <c r="T157" s="91">
        <v>-36814.28</v>
      </c>
      <c r="U157" s="91"/>
      <c r="V157" s="126"/>
      <c r="W157" s="126"/>
      <c r="X157" s="126"/>
      <c r="Y157" s="126"/>
      <c r="Z157" s="126"/>
      <c r="AA157" s="126"/>
    </row>
    <row r="158" spans="1:27">
      <c r="A158" s="91" t="s">
        <v>182</v>
      </c>
      <c r="B158" s="91" t="s">
        <v>87</v>
      </c>
      <c r="C158" s="91" t="s">
        <v>191</v>
      </c>
      <c r="D158" s="91" t="s">
        <v>88</v>
      </c>
      <c r="E158" s="91" t="s">
        <v>112</v>
      </c>
      <c r="F158" s="91" t="s">
        <v>182</v>
      </c>
      <c r="G158" s="91" t="s">
        <v>192</v>
      </c>
      <c r="H158" s="91" t="s">
        <v>128</v>
      </c>
      <c r="I158" s="91">
        <v>46709.63</v>
      </c>
      <c r="J158" s="91"/>
      <c r="K158" s="91"/>
      <c r="L158" s="91"/>
      <c r="M158" s="91"/>
      <c r="N158" s="91"/>
      <c r="O158" s="91"/>
      <c r="P158" s="91"/>
      <c r="Q158" s="91"/>
      <c r="R158" s="91"/>
      <c r="S158" s="91"/>
      <c r="T158" s="91"/>
      <c r="U158" s="91"/>
      <c r="V158" s="126">
        <v>46709.63</v>
      </c>
      <c r="W158" s="126"/>
      <c r="X158" s="126"/>
      <c r="Y158" s="126"/>
      <c r="Z158" s="126"/>
      <c r="AA158" s="126"/>
    </row>
    <row r="159" spans="1:27">
      <c r="A159" s="91" t="s">
        <v>182</v>
      </c>
      <c r="B159" s="91" t="s">
        <v>108</v>
      </c>
      <c r="C159" s="91" t="s">
        <v>188</v>
      </c>
      <c r="D159" s="91" t="s">
        <v>112</v>
      </c>
      <c r="E159" s="91" t="s">
        <v>88</v>
      </c>
      <c r="F159" s="91" t="s">
        <v>182</v>
      </c>
      <c r="G159" s="91" t="s">
        <v>189</v>
      </c>
      <c r="H159" s="91" t="s">
        <v>190</v>
      </c>
      <c r="I159" s="91">
        <v>-98062</v>
      </c>
      <c r="J159" s="91"/>
      <c r="K159" s="91"/>
      <c r="L159" s="91"/>
      <c r="M159" s="91"/>
      <c r="N159" s="91"/>
      <c r="O159" s="91"/>
      <c r="P159" s="91"/>
      <c r="Q159" s="91">
        <v>-98062</v>
      </c>
      <c r="R159" s="91"/>
      <c r="S159" s="91"/>
      <c r="T159" s="91"/>
      <c r="U159" s="91"/>
      <c r="V159" s="126"/>
      <c r="W159" s="126"/>
      <c r="X159" s="126"/>
      <c r="Y159" s="126"/>
      <c r="Z159" s="126"/>
      <c r="AA159" s="126"/>
    </row>
    <row r="160" spans="1:27">
      <c r="A160" s="91" t="s">
        <v>182</v>
      </c>
      <c r="B160" s="91" t="s">
        <v>108</v>
      </c>
      <c r="C160" s="91" t="s">
        <v>181</v>
      </c>
      <c r="D160" s="91" t="s">
        <v>112</v>
      </c>
      <c r="E160" s="91" t="s">
        <v>88</v>
      </c>
      <c r="F160" s="91" t="s">
        <v>182</v>
      </c>
      <c r="G160" s="91" t="s">
        <v>179</v>
      </c>
      <c r="H160" s="91" t="s">
        <v>180</v>
      </c>
      <c r="I160" s="91">
        <v>-287000</v>
      </c>
      <c r="J160" s="91"/>
      <c r="K160" s="91"/>
      <c r="L160" s="91"/>
      <c r="M160" s="91"/>
      <c r="N160" s="91"/>
      <c r="O160" s="91"/>
      <c r="P160" s="91"/>
      <c r="Q160" s="91"/>
      <c r="R160" s="91">
        <v>-287000</v>
      </c>
      <c r="S160" s="91"/>
      <c r="T160" s="91"/>
      <c r="U160" s="91"/>
      <c r="V160" s="126"/>
      <c r="W160" s="126"/>
      <c r="X160" s="126"/>
      <c r="Y160" s="126"/>
      <c r="Z160" s="126"/>
      <c r="AA160" s="126"/>
    </row>
    <row r="161" spans="1:27">
      <c r="A161" s="16" t="s">
        <v>182</v>
      </c>
      <c r="B161" s="16" t="s">
        <v>103</v>
      </c>
      <c r="C161" s="16" t="s">
        <v>237</v>
      </c>
      <c r="D161" s="16" t="s">
        <v>88</v>
      </c>
      <c r="E161" s="16" t="s">
        <v>112</v>
      </c>
      <c r="F161" s="16" t="s">
        <v>182</v>
      </c>
      <c r="G161" s="16" t="s">
        <v>219</v>
      </c>
      <c r="H161" s="16" t="s">
        <v>168</v>
      </c>
      <c r="I161" s="16">
        <v>144000</v>
      </c>
      <c r="L161" s="16">
        <v>144000</v>
      </c>
    </row>
    <row r="162" spans="1:27">
      <c r="A162" s="16" t="s">
        <v>182</v>
      </c>
      <c r="B162" s="16" t="s">
        <v>99</v>
      </c>
      <c r="C162" s="16" t="s">
        <v>237</v>
      </c>
      <c r="D162" s="16" t="s">
        <v>112</v>
      </c>
      <c r="E162" s="16" t="s">
        <v>88</v>
      </c>
      <c r="F162" s="16" t="s">
        <v>182</v>
      </c>
      <c r="G162" s="16" t="s">
        <v>219</v>
      </c>
      <c r="H162" s="16" t="s">
        <v>238</v>
      </c>
      <c r="I162" s="16">
        <v>-160000</v>
      </c>
      <c r="S162" s="16">
        <v>-160000</v>
      </c>
    </row>
    <row r="163" spans="1:27">
      <c r="A163" s="16" t="s">
        <v>196</v>
      </c>
      <c r="B163" s="16" t="s">
        <v>106</v>
      </c>
      <c r="C163" s="16" t="s">
        <v>197</v>
      </c>
      <c r="D163" s="16" t="s">
        <v>88</v>
      </c>
      <c r="E163" s="16" t="s">
        <v>112</v>
      </c>
      <c r="F163" s="16" t="s">
        <v>198</v>
      </c>
      <c r="G163" s="16" t="s">
        <v>199</v>
      </c>
      <c r="H163" s="16" t="s">
        <v>200</v>
      </c>
      <c r="I163" s="16">
        <v>892000</v>
      </c>
      <c r="Q163" s="16">
        <v>892000</v>
      </c>
    </row>
    <row r="164" spans="1:27">
      <c r="A164" s="16" t="s">
        <v>196</v>
      </c>
      <c r="B164" s="16" t="s">
        <v>106</v>
      </c>
      <c r="C164" s="16" t="s">
        <v>248</v>
      </c>
      <c r="D164" s="16" t="s">
        <v>88</v>
      </c>
      <c r="E164" s="16" t="s">
        <v>112</v>
      </c>
      <c r="F164" s="16" t="s">
        <v>201</v>
      </c>
      <c r="G164" s="16" t="s">
        <v>249</v>
      </c>
      <c r="H164" s="16" t="s">
        <v>250</v>
      </c>
      <c r="I164" s="16">
        <v>38720.400000000001</v>
      </c>
      <c r="S164" s="16">
        <v>38720.400000000001</v>
      </c>
    </row>
    <row r="165" spans="1:27">
      <c r="A165" s="16" t="s">
        <v>196</v>
      </c>
      <c r="B165" s="16" t="s">
        <v>86</v>
      </c>
      <c r="C165" s="16" t="s">
        <v>247</v>
      </c>
      <c r="D165" s="16" t="s">
        <v>112</v>
      </c>
      <c r="E165" s="16" t="s">
        <v>88</v>
      </c>
      <c r="F165" s="16" t="s">
        <v>201</v>
      </c>
      <c r="G165" s="16" t="s">
        <v>235</v>
      </c>
      <c r="H165" s="16" t="s">
        <v>236</v>
      </c>
      <c r="I165" s="16">
        <v>-225592</v>
      </c>
      <c r="U165" s="16">
        <v>-225592</v>
      </c>
    </row>
    <row r="166" spans="1:27">
      <c r="A166" s="16" t="s">
        <v>196</v>
      </c>
      <c r="B166" s="16" t="s">
        <v>87</v>
      </c>
      <c r="C166" s="16" t="s">
        <v>240</v>
      </c>
      <c r="D166" s="16" t="s">
        <v>88</v>
      </c>
      <c r="E166" s="16" t="s">
        <v>112</v>
      </c>
      <c r="F166" s="16" t="s">
        <v>196</v>
      </c>
      <c r="G166" s="16" t="s">
        <v>239</v>
      </c>
      <c r="H166" s="16" t="s">
        <v>128</v>
      </c>
      <c r="I166" s="16">
        <v>59871.24</v>
      </c>
      <c r="M166" s="16">
        <v>59871.24</v>
      </c>
    </row>
    <row r="167" spans="1:27">
      <c r="A167" s="16" t="s">
        <v>196</v>
      </c>
      <c r="B167" s="16" t="s">
        <v>87</v>
      </c>
      <c r="C167" s="16" t="s">
        <v>241</v>
      </c>
      <c r="D167" s="16" t="s">
        <v>88</v>
      </c>
      <c r="E167" s="16" t="s">
        <v>112</v>
      </c>
      <c r="F167" s="16" t="s">
        <v>196</v>
      </c>
      <c r="G167" s="16" t="s">
        <v>235</v>
      </c>
      <c r="H167" s="16" t="s">
        <v>236</v>
      </c>
      <c r="I167" s="16">
        <v>111679</v>
      </c>
      <c r="U167" s="16">
        <v>111679</v>
      </c>
    </row>
    <row r="168" spans="1:27">
      <c r="A168" s="16" t="s">
        <v>196</v>
      </c>
      <c r="B168" s="16" t="s">
        <v>87</v>
      </c>
      <c r="C168" s="16" t="s">
        <v>241</v>
      </c>
      <c r="D168" s="16" t="s">
        <v>88</v>
      </c>
      <c r="E168" s="16" t="s">
        <v>112</v>
      </c>
      <c r="F168" s="16" t="s">
        <v>196</v>
      </c>
      <c r="G168" s="16" t="s">
        <v>242</v>
      </c>
      <c r="H168" s="16" t="s">
        <v>180</v>
      </c>
      <c r="I168" s="16">
        <v>36814.28</v>
      </c>
      <c r="T168" s="16">
        <v>36814.28</v>
      </c>
    </row>
    <row r="169" spans="1:27">
      <c r="A169" s="175" t="s">
        <v>196</v>
      </c>
      <c r="B169" s="175" t="s">
        <v>103</v>
      </c>
      <c r="C169" s="175" t="s">
        <v>252</v>
      </c>
      <c r="D169" s="175" t="s">
        <v>88</v>
      </c>
      <c r="E169" s="175" t="s">
        <v>112</v>
      </c>
      <c r="F169" s="175" t="s">
        <v>196</v>
      </c>
      <c r="G169" s="175" t="s">
        <v>253</v>
      </c>
      <c r="H169" s="175" t="s">
        <v>168</v>
      </c>
      <c r="I169" s="175">
        <v>1396633</v>
      </c>
      <c r="J169" s="175"/>
      <c r="K169" s="175"/>
      <c r="L169" s="175">
        <v>1396633</v>
      </c>
      <c r="M169" s="175"/>
      <c r="N169" s="175"/>
      <c r="O169" s="175"/>
      <c r="P169" s="175"/>
      <c r="Q169" s="175"/>
      <c r="R169" s="175"/>
      <c r="S169" s="175"/>
      <c r="T169" s="175"/>
      <c r="U169" s="175"/>
      <c r="V169" s="175"/>
      <c r="W169" s="175"/>
      <c r="X169" s="175"/>
      <c r="Y169" s="175"/>
      <c r="Z169" s="175"/>
      <c r="AA169" s="175"/>
    </row>
    <row r="170" spans="1:27">
      <c r="A170" s="175" t="s">
        <v>196</v>
      </c>
      <c r="B170" s="175" t="s">
        <v>99</v>
      </c>
      <c r="C170" s="175" t="s">
        <v>252</v>
      </c>
      <c r="D170" s="175" t="s">
        <v>112</v>
      </c>
      <c r="E170" s="175" t="s">
        <v>88</v>
      </c>
      <c r="F170" s="175" t="s">
        <v>196</v>
      </c>
      <c r="G170" s="175" t="s">
        <v>253</v>
      </c>
      <c r="H170" s="175" t="s">
        <v>254</v>
      </c>
      <c r="I170" s="175">
        <v>-1551814</v>
      </c>
      <c r="J170" s="175"/>
      <c r="K170" s="175"/>
      <c r="L170" s="175"/>
      <c r="M170" s="175"/>
      <c r="N170" s="175"/>
      <c r="O170" s="175"/>
      <c r="P170" s="175"/>
      <c r="Q170" s="175">
        <v>-1551814</v>
      </c>
      <c r="R170" s="175"/>
      <c r="S170" s="175"/>
      <c r="T170" s="175"/>
      <c r="U170" s="175"/>
      <c r="V170" s="175"/>
      <c r="W170" s="175"/>
      <c r="X170" s="175"/>
      <c r="Y170" s="175"/>
      <c r="Z170" s="175"/>
      <c r="AA170" s="175"/>
    </row>
    <row r="171" spans="1:27">
      <c r="A171" s="179" t="s">
        <v>201</v>
      </c>
      <c r="B171" s="179" t="s">
        <v>86</v>
      </c>
      <c r="C171" s="179" t="s">
        <v>258</v>
      </c>
      <c r="D171" s="179" t="s">
        <v>112</v>
      </c>
      <c r="E171" s="179" t="s">
        <v>88</v>
      </c>
      <c r="F171" s="179" t="s">
        <v>202</v>
      </c>
      <c r="G171" s="179" t="s">
        <v>259</v>
      </c>
      <c r="H171" s="179" t="s">
        <v>260</v>
      </c>
      <c r="I171" s="179">
        <v>-96554.44</v>
      </c>
      <c r="J171" s="179"/>
      <c r="K171" s="179"/>
      <c r="L171" s="179"/>
      <c r="M171" s="179"/>
      <c r="N171" s="179"/>
      <c r="O171" s="179"/>
      <c r="P171" s="179"/>
      <c r="Q171" s="179"/>
      <c r="R171" s="179"/>
      <c r="S171" s="179"/>
      <c r="T171" s="179">
        <v>-96554.44</v>
      </c>
      <c r="U171" s="179"/>
      <c r="V171" s="179"/>
      <c r="W171" s="179"/>
      <c r="X171" s="179"/>
      <c r="Y171" s="179"/>
      <c r="Z171" s="179"/>
      <c r="AA171" s="179"/>
    </row>
    <row r="172" spans="1:27">
      <c r="A172" s="179" t="s">
        <v>201</v>
      </c>
      <c r="B172" s="179" t="s">
        <v>86</v>
      </c>
      <c r="C172" s="179" t="s">
        <v>261</v>
      </c>
      <c r="D172" s="179" t="s">
        <v>112</v>
      </c>
      <c r="E172" s="179" t="s">
        <v>88</v>
      </c>
      <c r="F172" s="179" t="s">
        <v>262</v>
      </c>
      <c r="G172" s="179" t="s">
        <v>263</v>
      </c>
      <c r="H172" s="179" t="s">
        <v>264</v>
      </c>
      <c r="I172" s="179">
        <v>-76220.350000000006</v>
      </c>
      <c r="J172" s="179"/>
      <c r="K172" s="179"/>
      <c r="L172" s="179"/>
      <c r="M172" s="179"/>
      <c r="N172" s="179"/>
      <c r="O172" s="179"/>
      <c r="P172" s="179"/>
      <c r="Q172" s="179"/>
      <c r="R172" s="179"/>
      <c r="S172" s="179"/>
      <c r="T172" s="179"/>
      <c r="U172" s="179">
        <v>-76220.350000000006</v>
      </c>
      <c r="V172" s="179"/>
      <c r="W172" s="179"/>
      <c r="X172" s="179"/>
      <c r="Y172" s="179"/>
      <c r="Z172" s="179"/>
      <c r="AA172" s="179"/>
    </row>
    <row r="173" spans="1:27">
      <c r="A173" s="16" t="s">
        <v>201</v>
      </c>
      <c r="B173" s="16" t="s">
        <v>87</v>
      </c>
      <c r="C173" s="16" t="s">
        <v>247</v>
      </c>
      <c r="D173" s="16" t="s">
        <v>88</v>
      </c>
      <c r="E173" s="16" t="s">
        <v>112</v>
      </c>
      <c r="F173" s="16" t="s">
        <v>201</v>
      </c>
      <c r="G173" s="16" t="s">
        <v>235</v>
      </c>
      <c r="H173" s="16" t="s">
        <v>236</v>
      </c>
      <c r="I173" s="16">
        <v>225592</v>
      </c>
      <c r="U173" s="16">
        <v>225592</v>
      </c>
    </row>
    <row r="174" spans="1:27">
      <c r="A174" s="16" t="s">
        <v>201</v>
      </c>
      <c r="B174" s="16" t="s">
        <v>108</v>
      </c>
      <c r="C174" s="16" t="s">
        <v>197</v>
      </c>
      <c r="D174" s="16" t="s">
        <v>112</v>
      </c>
      <c r="E174" s="16" t="s">
        <v>88</v>
      </c>
      <c r="F174" s="16" t="s">
        <v>201</v>
      </c>
      <c r="G174" s="16" t="s">
        <v>199</v>
      </c>
      <c r="H174" s="16" t="s">
        <v>200</v>
      </c>
      <c r="I174" s="16">
        <v>-446000</v>
      </c>
      <c r="Q174" s="16">
        <v>-446000</v>
      </c>
    </row>
    <row r="175" spans="1:27">
      <c r="A175" s="184" t="s">
        <v>201</v>
      </c>
      <c r="B175" s="184" t="s">
        <v>108</v>
      </c>
      <c r="C175" s="184" t="s">
        <v>248</v>
      </c>
      <c r="D175" s="184" t="s">
        <v>112</v>
      </c>
      <c r="E175" s="184" t="s">
        <v>88</v>
      </c>
      <c r="F175" s="184" t="s">
        <v>201</v>
      </c>
      <c r="G175" s="184" t="s">
        <v>249</v>
      </c>
      <c r="H175" s="184" t="s">
        <v>250</v>
      </c>
      <c r="I175" s="184">
        <v>-38720.400000000001</v>
      </c>
      <c r="J175" s="184"/>
      <c r="K175" s="184"/>
      <c r="L175" s="184"/>
      <c r="M175" s="184"/>
      <c r="N175" s="184"/>
      <c r="O175" s="184"/>
      <c r="P175" s="184"/>
      <c r="Q175" s="184"/>
      <c r="R175" s="184"/>
      <c r="S175" s="184">
        <v>-38720.400000000001</v>
      </c>
      <c r="T175" s="184"/>
      <c r="U175" s="184"/>
      <c r="V175" s="184"/>
      <c r="W175" s="184"/>
      <c r="X175" s="184"/>
      <c r="Y175" s="184"/>
      <c r="Z175" s="184"/>
      <c r="AA175" s="184"/>
    </row>
    <row r="176" spans="1:27">
      <c r="A176" s="184" t="s">
        <v>202</v>
      </c>
      <c r="B176" s="184" t="s">
        <v>86</v>
      </c>
      <c r="C176" s="184" t="s">
        <v>261</v>
      </c>
      <c r="D176" s="184" t="s">
        <v>112</v>
      </c>
      <c r="E176" s="184" t="s">
        <v>88</v>
      </c>
      <c r="F176" s="184" t="s">
        <v>262</v>
      </c>
      <c r="G176" s="184" t="s">
        <v>263</v>
      </c>
      <c r="H176" s="184" t="s">
        <v>264</v>
      </c>
      <c r="I176" s="184">
        <v>-105207.09</v>
      </c>
      <c r="J176" s="184"/>
      <c r="K176" s="184"/>
      <c r="L176" s="184"/>
      <c r="M176" s="184"/>
      <c r="N176" s="184"/>
      <c r="O176" s="184"/>
      <c r="P176" s="184"/>
      <c r="Q176" s="184"/>
      <c r="R176" s="184"/>
      <c r="S176" s="184"/>
      <c r="T176" s="184"/>
      <c r="U176" s="184">
        <v>-105207.09</v>
      </c>
      <c r="V176" s="184"/>
      <c r="W176" s="184"/>
      <c r="X176" s="184"/>
      <c r="Y176" s="184"/>
      <c r="Z176" s="184"/>
      <c r="AA176" s="184"/>
    </row>
    <row r="177" spans="1:27">
      <c r="A177" s="184" t="s">
        <v>202</v>
      </c>
      <c r="B177" s="184" t="s">
        <v>87</v>
      </c>
      <c r="C177" s="184" t="s">
        <v>258</v>
      </c>
      <c r="D177" s="184" t="s">
        <v>88</v>
      </c>
      <c r="E177" s="184" t="s">
        <v>112</v>
      </c>
      <c r="F177" s="184" t="s">
        <v>202</v>
      </c>
      <c r="G177" s="184" t="s">
        <v>259</v>
      </c>
      <c r="H177" s="184" t="s">
        <v>260</v>
      </c>
      <c r="I177" s="184">
        <v>96554.44</v>
      </c>
      <c r="J177" s="184"/>
      <c r="K177" s="184"/>
      <c r="L177" s="184"/>
      <c r="M177" s="184"/>
      <c r="N177" s="184"/>
      <c r="O177" s="184"/>
      <c r="P177" s="184"/>
      <c r="Q177" s="184"/>
      <c r="R177" s="184"/>
      <c r="S177" s="184"/>
      <c r="T177" s="184">
        <v>96554.44</v>
      </c>
      <c r="U177" s="184"/>
      <c r="V177" s="184"/>
      <c r="W177" s="184"/>
      <c r="X177" s="184"/>
      <c r="Y177" s="184"/>
      <c r="Z177" s="184"/>
      <c r="AA177" s="184"/>
    </row>
    <row r="178" spans="1:27">
      <c r="A178" s="184" t="s">
        <v>202</v>
      </c>
      <c r="B178" s="184" t="s">
        <v>108</v>
      </c>
      <c r="C178" s="184" t="s">
        <v>197</v>
      </c>
      <c r="D178" s="184" t="s">
        <v>112</v>
      </c>
      <c r="E178" s="184" t="s">
        <v>88</v>
      </c>
      <c r="F178" s="184" t="s">
        <v>202</v>
      </c>
      <c r="G178" s="184" t="s">
        <v>199</v>
      </c>
      <c r="H178" s="184" t="s">
        <v>200</v>
      </c>
      <c r="I178" s="184">
        <v>-446000</v>
      </c>
      <c r="J178" s="184"/>
      <c r="K178" s="184"/>
      <c r="L178" s="184"/>
      <c r="M178" s="184"/>
      <c r="N178" s="184"/>
      <c r="O178" s="184"/>
      <c r="P178" s="184"/>
      <c r="Q178" s="184">
        <v>-446000</v>
      </c>
      <c r="R178" s="184"/>
      <c r="S178" s="184"/>
      <c r="T178" s="184"/>
      <c r="U178" s="184"/>
      <c r="V178" s="184"/>
      <c r="W178" s="184"/>
      <c r="X178" s="184"/>
      <c r="Y178" s="184"/>
      <c r="Z178" s="184"/>
      <c r="AA178" s="184"/>
    </row>
    <row r="179" spans="1:27">
      <c r="A179" s="184" t="s">
        <v>262</v>
      </c>
      <c r="B179" s="184" t="s">
        <v>106</v>
      </c>
      <c r="C179" s="184" t="s">
        <v>305</v>
      </c>
      <c r="D179" s="184" t="s">
        <v>88</v>
      </c>
      <c r="E179" s="184" t="s">
        <v>112</v>
      </c>
      <c r="F179" s="184" t="s">
        <v>306</v>
      </c>
      <c r="G179" s="184" t="s">
        <v>307</v>
      </c>
      <c r="H179" s="184" t="s">
        <v>308</v>
      </c>
      <c r="I179" s="184">
        <v>16272.09</v>
      </c>
      <c r="J179" s="184"/>
      <c r="K179" s="184"/>
      <c r="L179" s="184"/>
      <c r="M179" s="184"/>
      <c r="N179" s="184"/>
      <c r="O179" s="184"/>
      <c r="P179" s="184"/>
      <c r="Q179" s="184"/>
      <c r="R179" s="184"/>
      <c r="S179" s="184"/>
      <c r="T179" s="184">
        <v>16272.09</v>
      </c>
      <c r="U179" s="184"/>
      <c r="V179" s="184"/>
      <c r="W179" s="184"/>
      <c r="X179" s="184"/>
      <c r="Y179" s="184"/>
      <c r="Z179" s="184"/>
      <c r="AA179" s="184"/>
    </row>
    <row r="180" spans="1:27">
      <c r="A180" s="16" t="s">
        <v>262</v>
      </c>
      <c r="B180" s="16" t="s">
        <v>87</v>
      </c>
      <c r="C180" s="16" t="s">
        <v>261</v>
      </c>
      <c r="D180" s="16" t="s">
        <v>88</v>
      </c>
      <c r="E180" s="16" t="s">
        <v>112</v>
      </c>
      <c r="F180" s="16" t="s">
        <v>262</v>
      </c>
      <c r="G180" s="16" t="s">
        <v>263</v>
      </c>
      <c r="H180" s="16" t="s">
        <v>264</v>
      </c>
      <c r="I180" s="16">
        <v>181427.44</v>
      </c>
      <c r="U180" s="16">
        <v>181427.44</v>
      </c>
    </row>
    <row r="181" spans="1:27">
      <c r="A181" s="16" t="s">
        <v>306</v>
      </c>
      <c r="B181" s="16" t="s">
        <v>108</v>
      </c>
      <c r="C181" s="16" t="s">
        <v>305</v>
      </c>
      <c r="D181" s="16" t="s">
        <v>112</v>
      </c>
      <c r="E181" s="16" t="s">
        <v>88</v>
      </c>
      <c r="F181" s="16" t="s">
        <v>306</v>
      </c>
      <c r="G181" s="16" t="s">
        <v>307</v>
      </c>
      <c r="H181" s="16" t="s">
        <v>308</v>
      </c>
      <c r="I181" s="16">
        <v>-16272.09</v>
      </c>
      <c r="T181" s="16">
        <v>-16272.09</v>
      </c>
    </row>
    <row r="182" spans="1:27">
      <c r="A182" s="189"/>
      <c r="B182" s="189"/>
      <c r="C182" s="189"/>
      <c r="D182" s="189"/>
      <c r="E182" s="189"/>
      <c r="F182" s="189"/>
      <c r="G182" s="189"/>
      <c r="H182" s="189"/>
      <c r="I182" s="189"/>
      <c r="J182" s="189"/>
      <c r="K182" s="189"/>
      <c r="L182" s="189"/>
      <c r="M182" s="189"/>
      <c r="N182" s="189"/>
      <c r="O182" s="189"/>
      <c r="P182" s="189"/>
      <c r="Q182" s="189"/>
      <c r="R182" s="189"/>
      <c r="S182" s="189"/>
      <c r="T182" s="189"/>
      <c r="U182" s="189"/>
      <c r="V182" s="189"/>
      <c r="W182" s="189"/>
      <c r="X182" s="189"/>
      <c r="Y182" s="189"/>
      <c r="Z182" s="189"/>
      <c r="AA182" s="189"/>
    </row>
    <row r="183" spans="1:27">
      <c r="A183" s="189"/>
      <c r="B183" s="189"/>
      <c r="C183" s="189"/>
      <c r="D183" s="189"/>
      <c r="E183" s="189"/>
      <c r="F183" s="189"/>
      <c r="G183" s="189"/>
      <c r="H183" s="189"/>
      <c r="I183" s="189"/>
      <c r="J183" s="189"/>
      <c r="K183" s="189"/>
      <c r="L183" s="189"/>
      <c r="M183" s="189"/>
      <c r="N183" s="189"/>
      <c r="O183" s="189"/>
      <c r="P183" s="189"/>
      <c r="Q183" s="189"/>
      <c r="R183" s="189"/>
      <c r="S183" s="189"/>
      <c r="T183" s="189"/>
      <c r="U183" s="189"/>
      <c r="V183" s="189"/>
      <c r="W183" s="189"/>
      <c r="X183" s="189"/>
      <c r="Y183" s="189"/>
      <c r="Z183" s="189"/>
      <c r="AA183" s="189"/>
    </row>
  </sheetData>
  <mergeCells count="5">
    <mergeCell ref="A1:F1"/>
    <mergeCell ref="A3:F3"/>
    <mergeCell ref="A9:G9"/>
    <mergeCell ref="A102:G102"/>
    <mergeCell ref="A7:H7"/>
  </mergeCells>
  <pageMargins left="0.7" right="0.7" top="0.75" bottom="0.75" header="0.3" footer="0.3"/>
  <pageSetup paperSize="17" scale="26" orientation="landscape"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54"/>
  <sheetViews>
    <sheetView topLeftCell="A14" zoomScaleNormal="100" workbookViewId="0">
      <selection activeCell="B18" sqref="B18"/>
    </sheetView>
  </sheetViews>
  <sheetFormatPr defaultRowHeight="14.4"/>
  <cols>
    <col min="1" max="1" width="9.109375" style="1"/>
    <col min="2" max="2" width="20.6640625" customWidth="1"/>
    <col min="3" max="3" width="37.44140625" customWidth="1"/>
    <col min="4" max="4" width="15.6640625" customWidth="1"/>
    <col min="5" max="5" width="18.33203125" customWidth="1"/>
    <col min="6" max="8" width="11.5546875" bestFit="1" customWidth="1"/>
    <col min="9" max="9" width="10.5546875" bestFit="1" customWidth="1"/>
  </cols>
  <sheetData>
    <row r="1" spans="1:10">
      <c r="A1" s="4" t="s">
        <v>13</v>
      </c>
      <c r="B1" s="207" t="s">
        <v>14</v>
      </c>
      <c r="C1" s="207"/>
      <c r="D1" s="207"/>
      <c r="E1" s="207"/>
    </row>
    <row r="2" spans="1:10" ht="81.75" customHeight="1">
      <c r="A2" s="1">
        <v>1</v>
      </c>
      <c r="B2" s="206" t="s">
        <v>16</v>
      </c>
      <c r="C2" s="206"/>
      <c r="D2" s="206"/>
      <c r="E2" s="206"/>
    </row>
    <row r="3" spans="1:10">
      <c r="B3" s="3"/>
      <c r="C3" s="3"/>
      <c r="D3" s="3"/>
      <c r="E3" s="3"/>
    </row>
    <row r="4" spans="1:10" ht="33" customHeight="1">
      <c r="A4" s="1">
        <v>2</v>
      </c>
      <c r="B4" s="206" t="s">
        <v>17</v>
      </c>
      <c r="C4" s="206"/>
      <c r="D4" s="206"/>
      <c r="E4" s="206"/>
    </row>
    <row r="5" spans="1:10">
      <c r="B5" s="3"/>
      <c r="C5" s="3"/>
      <c r="D5" s="3"/>
      <c r="E5" s="3"/>
    </row>
    <row r="6" spans="1:10" ht="31.5" customHeight="1">
      <c r="A6" s="1">
        <v>3</v>
      </c>
      <c r="B6" s="206" t="s">
        <v>220</v>
      </c>
      <c r="C6" s="206"/>
      <c r="D6" s="206"/>
      <c r="E6" s="206"/>
    </row>
    <row r="7" spans="1:10">
      <c r="B7" s="3"/>
      <c r="C7" s="3"/>
      <c r="D7" s="3"/>
      <c r="E7" s="3"/>
    </row>
    <row r="8" spans="1:10" ht="18" customHeight="1">
      <c r="A8" s="1">
        <v>4</v>
      </c>
      <c r="B8" s="210" t="s">
        <v>245</v>
      </c>
      <c r="C8" s="210"/>
      <c r="D8" s="7"/>
      <c r="E8" s="7"/>
    </row>
    <row r="9" spans="1:10" ht="18" customHeight="1">
      <c r="B9" s="209" t="s">
        <v>291</v>
      </c>
      <c r="C9" s="209"/>
      <c r="D9" s="10">
        <v>110269.21</v>
      </c>
      <c r="F9" s="170"/>
      <c r="G9" s="115"/>
      <c r="H9" s="115"/>
    </row>
    <row r="10" spans="1:10" ht="18" customHeight="1">
      <c r="B10" s="206" t="s">
        <v>292</v>
      </c>
      <c r="C10" s="206"/>
      <c r="D10" s="9">
        <v>-31250</v>
      </c>
      <c r="E10" s="114">
        <f>D10/$D$9</f>
        <v>-0.28339733276405987</v>
      </c>
      <c r="F10" s="170"/>
    </row>
    <row r="11" spans="1:10" ht="18" customHeight="1">
      <c r="B11" s="209" t="s">
        <v>293</v>
      </c>
      <c r="C11" s="209"/>
      <c r="D11" s="11">
        <f>+D9+D10</f>
        <v>79019.210000000006</v>
      </c>
      <c r="E11" s="114">
        <f>D11/$D$9</f>
        <v>0.71660266723594013</v>
      </c>
      <c r="F11" s="170"/>
      <c r="G11" s="115"/>
      <c r="H11" s="115"/>
      <c r="I11" s="16"/>
      <c r="J11" s="114"/>
    </row>
    <row r="12" spans="1:10" ht="31.5" customHeight="1">
      <c r="B12" s="206" t="s">
        <v>294</v>
      </c>
      <c r="C12" s="206"/>
      <c r="D12" s="8">
        <v>45980.789999999994</v>
      </c>
      <c r="E12" s="114">
        <f>D12/$D$9</f>
        <v>0.41698666382029936</v>
      </c>
      <c r="F12" s="170"/>
      <c r="G12" s="115"/>
      <c r="H12" s="115"/>
      <c r="I12" s="16"/>
      <c r="J12" s="114"/>
    </row>
    <row r="13" spans="1:10" ht="36.75" customHeight="1">
      <c r="B13" s="209" t="s">
        <v>295</v>
      </c>
      <c r="C13" s="209"/>
      <c r="D13" s="12">
        <f>SUM(D11:D12)</f>
        <v>125000</v>
      </c>
      <c r="E13" s="169"/>
      <c r="H13" s="115"/>
    </row>
    <row r="14" spans="1:10" ht="18" customHeight="1">
      <c r="B14" s="3"/>
      <c r="C14" s="3"/>
      <c r="D14" s="14"/>
    </row>
    <row r="15" spans="1:10" ht="24.75" customHeight="1">
      <c r="A15" s="1">
        <v>5</v>
      </c>
      <c r="B15" s="208" t="s">
        <v>257</v>
      </c>
      <c r="C15" s="208"/>
      <c r="D15" s="208"/>
      <c r="E15" s="208"/>
    </row>
    <row r="16" spans="1:10">
      <c r="B16" s="3"/>
      <c r="C16" s="3"/>
      <c r="D16" s="3"/>
      <c r="E16" s="3"/>
    </row>
    <row r="17" spans="1:5" ht="30" customHeight="1">
      <c r="A17" s="1">
        <v>6</v>
      </c>
      <c r="B17" s="203" t="s">
        <v>310</v>
      </c>
      <c r="C17" s="203"/>
      <c r="D17" s="203"/>
      <c r="E17" s="203"/>
    </row>
    <row r="18" spans="1:5">
      <c r="B18" s="3"/>
      <c r="C18" s="3"/>
      <c r="D18" s="3"/>
      <c r="E18" s="3"/>
    </row>
    <row r="19" spans="1:5" ht="33" customHeight="1">
      <c r="A19" s="1">
        <v>7</v>
      </c>
      <c r="B19" s="206" t="s">
        <v>36</v>
      </c>
      <c r="C19" s="206"/>
      <c r="D19" s="206"/>
      <c r="E19" s="206"/>
    </row>
    <row r="20" spans="1:5" ht="14.25" customHeight="1">
      <c r="B20" s="3"/>
      <c r="C20" s="3"/>
      <c r="D20" s="3"/>
      <c r="E20" s="3"/>
    </row>
    <row r="21" spans="1:5" ht="47.25" customHeight="1">
      <c r="A21" s="1">
        <v>8</v>
      </c>
      <c r="B21" s="206" t="s">
        <v>37</v>
      </c>
      <c r="C21" s="206"/>
      <c r="D21" s="206"/>
      <c r="E21" s="206"/>
    </row>
    <row r="22" spans="1:5" ht="15" customHeight="1">
      <c r="B22" s="3"/>
      <c r="C22" s="3"/>
      <c r="D22" s="3"/>
      <c r="E22" s="3"/>
    </row>
    <row r="23" spans="1:5" ht="32.25" customHeight="1">
      <c r="A23" s="1">
        <v>9</v>
      </c>
      <c r="B23" s="206" t="s">
        <v>35</v>
      </c>
      <c r="C23" s="206"/>
      <c r="D23" s="206"/>
      <c r="E23" s="206"/>
    </row>
    <row r="24" spans="1:5" ht="15" customHeight="1">
      <c r="B24" s="3"/>
      <c r="C24" s="3"/>
      <c r="D24" s="3"/>
      <c r="E24" s="3"/>
    </row>
    <row r="25" spans="1:5" ht="33" customHeight="1">
      <c r="A25" s="1">
        <v>10</v>
      </c>
      <c r="B25" s="206" t="s">
        <v>38</v>
      </c>
      <c r="C25" s="206"/>
      <c r="D25" s="206"/>
      <c r="E25" s="206"/>
    </row>
    <row r="26" spans="1:5">
      <c r="B26" s="3"/>
      <c r="C26" s="3"/>
      <c r="D26" s="3"/>
      <c r="E26" s="3"/>
    </row>
    <row r="27" spans="1:5" ht="30" customHeight="1">
      <c r="A27" s="1">
        <v>11</v>
      </c>
      <c r="B27" s="206" t="s">
        <v>39</v>
      </c>
      <c r="C27" s="206"/>
      <c r="D27" s="206"/>
      <c r="E27" s="206"/>
    </row>
    <row r="28" spans="1:5">
      <c r="B28" s="3"/>
      <c r="C28" s="3"/>
      <c r="D28" s="3"/>
      <c r="E28" s="3"/>
    </row>
    <row r="29" spans="1:5" ht="31.5" customHeight="1">
      <c r="A29" s="1">
        <v>12</v>
      </c>
      <c r="B29" s="206" t="s">
        <v>40</v>
      </c>
      <c r="C29" s="206"/>
      <c r="D29" s="206"/>
      <c r="E29" s="206"/>
    </row>
    <row r="30" spans="1:5">
      <c r="B30" s="3"/>
      <c r="C30" s="3"/>
      <c r="D30" s="3"/>
      <c r="E30" s="3"/>
    </row>
    <row r="31" spans="1:5" ht="34.5" customHeight="1">
      <c r="A31" s="1">
        <v>13</v>
      </c>
      <c r="B31" s="206" t="s">
        <v>18</v>
      </c>
      <c r="C31" s="206"/>
      <c r="D31" s="206"/>
      <c r="E31" s="206"/>
    </row>
    <row r="32" spans="1:5" ht="16.5" customHeight="1">
      <c r="B32" s="3"/>
      <c r="C32" s="3"/>
      <c r="D32" s="3"/>
      <c r="E32" s="3"/>
    </row>
    <row r="33" spans="1:5" ht="64.5" customHeight="1">
      <c r="A33" s="1">
        <v>14</v>
      </c>
      <c r="B33" s="206" t="s">
        <v>19</v>
      </c>
      <c r="C33" s="206"/>
      <c r="D33" s="206"/>
      <c r="E33" s="206"/>
    </row>
    <row r="34" spans="1:5" ht="14.25" customHeight="1">
      <c r="B34" s="3"/>
      <c r="C34" s="3"/>
      <c r="D34" s="3"/>
      <c r="E34" s="3"/>
    </row>
    <row r="35" spans="1:5">
      <c r="A35" s="1">
        <v>15</v>
      </c>
      <c r="B35" s="210" t="s">
        <v>33</v>
      </c>
      <c r="C35" s="210"/>
      <c r="D35" s="210"/>
      <c r="E35" s="210"/>
    </row>
    <row r="36" spans="1:5">
      <c r="B36" s="13" t="s">
        <v>7</v>
      </c>
      <c r="C36" s="204" t="s">
        <v>20</v>
      </c>
      <c r="D36" s="204"/>
      <c r="E36" s="204"/>
    </row>
    <row r="37" spans="1:5">
      <c r="B37" s="5" t="s">
        <v>21</v>
      </c>
      <c r="C37" s="205" t="s">
        <v>28</v>
      </c>
      <c r="D37" s="205"/>
      <c r="E37" s="205"/>
    </row>
    <row r="38" spans="1:5">
      <c r="B38" s="13" t="s">
        <v>22</v>
      </c>
      <c r="C38" s="204" t="s">
        <v>29</v>
      </c>
      <c r="D38" s="204"/>
      <c r="E38" s="204"/>
    </row>
    <row r="39" spans="1:5">
      <c r="B39" s="5" t="s">
        <v>23</v>
      </c>
      <c r="C39" s="205" t="s">
        <v>32</v>
      </c>
      <c r="D39" s="205"/>
      <c r="E39" s="205"/>
    </row>
    <row r="40" spans="1:5">
      <c r="B40" s="13" t="s">
        <v>9</v>
      </c>
      <c r="C40" s="204" t="s">
        <v>30</v>
      </c>
      <c r="D40" s="204"/>
      <c r="E40" s="204"/>
    </row>
    <row r="41" spans="1:5">
      <c r="B41" s="5" t="s">
        <v>8</v>
      </c>
      <c r="C41" s="205" t="s">
        <v>24</v>
      </c>
      <c r="D41" s="205"/>
      <c r="E41" s="205"/>
    </row>
    <row r="42" spans="1:5">
      <c r="B42" s="13" t="s">
        <v>25</v>
      </c>
      <c r="C42" s="204" t="s">
        <v>26</v>
      </c>
      <c r="D42" s="204"/>
      <c r="E42" s="204"/>
    </row>
    <row r="43" spans="1:5">
      <c r="B43" s="5" t="s">
        <v>27</v>
      </c>
      <c r="C43" s="205" t="s">
        <v>31</v>
      </c>
      <c r="D43" s="205"/>
      <c r="E43" s="205"/>
    </row>
    <row r="44" spans="1:5">
      <c r="B44" s="5"/>
      <c r="C44" s="6"/>
      <c r="D44" s="6"/>
      <c r="E44" s="6"/>
    </row>
    <row r="45" spans="1:5">
      <c r="A45" s="1">
        <v>16</v>
      </c>
      <c r="B45" s="15" t="s">
        <v>61</v>
      </c>
      <c r="C45" s="6"/>
      <c r="D45" s="6"/>
      <c r="E45" s="6"/>
    </row>
    <row r="46" spans="1:5" ht="30" customHeight="1">
      <c r="B46" s="13" t="s">
        <v>49</v>
      </c>
      <c r="C46" s="204" t="s">
        <v>63</v>
      </c>
      <c r="D46" s="204"/>
      <c r="E46" s="204"/>
    </row>
    <row r="47" spans="1:5">
      <c r="B47" s="5" t="s">
        <v>50</v>
      </c>
      <c r="C47" s="205" t="s">
        <v>62</v>
      </c>
      <c r="D47" s="205"/>
      <c r="E47" s="205"/>
    </row>
    <row r="48" spans="1:5" ht="48.75" customHeight="1">
      <c r="B48" s="13" t="s">
        <v>51</v>
      </c>
      <c r="C48" s="204" t="s">
        <v>65</v>
      </c>
      <c r="D48" s="204"/>
      <c r="E48" s="204"/>
    </row>
    <row r="49" spans="1:5" ht="29.25" customHeight="1">
      <c r="B49" s="5" t="s">
        <v>52</v>
      </c>
      <c r="C49" s="205" t="s">
        <v>64</v>
      </c>
      <c r="D49" s="205"/>
      <c r="E49" s="205"/>
    </row>
    <row r="50" spans="1:5">
      <c r="B50" s="5"/>
      <c r="C50" s="6"/>
      <c r="D50" s="6"/>
      <c r="E50" s="6"/>
    </row>
    <row r="51" spans="1:5" ht="95.4" customHeight="1">
      <c r="A51" s="1">
        <v>17</v>
      </c>
      <c r="B51" s="212" t="s">
        <v>301</v>
      </c>
      <c r="C51" s="212"/>
      <c r="D51" s="212"/>
      <c r="E51" s="212"/>
    </row>
    <row r="52" spans="1:5">
      <c r="B52" s="2"/>
    </row>
    <row r="53" spans="1:5">
      <c r="A53" s="211" t="s">
        <v>255</v>
      </c>
      <c r="B53" s="211"/>
      <c r="C53" s="211"/>
      <c r="D53" s="211"/>
      <c r="E53" s="211"/>
    </row>
    <row r="54" spans="1:5">
      <c r="A54" s="183" t="s">
        <v>256</v>
      </c>
    </row>
  </sheetData>
  <mergeCells count="35">
    <mergeCell ref="A53:E53"/>
    <mergeCell ref="B19:E19"/>
    <mergeCell ref="B35:E35"/>
    <mergeCell ref="C36:E36"/>
    <mergeCell ref="C37:E37"/>
    <mergeCell ref="C38:E38"/>
    <mergeCell ref="C39:E39"/>
    <mergeCell ref="C40:E40"/>
    <mergeCell ref="C41:E41"/>
    <mergeCell ref="C42:E42"/>
    <mergeCell ref="C43:E43"/>
    <mergeCell ref="B21:E21"/>
    <mergeCell ref="B23:E23"/>
    <mergeCell ref="B51:E51"/>
    <mergeCell ref="B1:E1"/>
    <mergeCell ref="B2:E2"/>
    <mergeCell ref="B4:E4"/>
    <mergeCell ref="B15:E15"/>
    <mergeCell ref="B10:C10"/>
    <mergeCell ref="B11:C11"/>
    <mergeCell ref="B13:C13"/>
    <mergeCell ref="B12:C12"/>
    <mergeCell ref="B8:C8"/>
    <mergeCell ref="B9:C9"/>
    <mergeCell ref="B6:E6"/>
    <mergeCell ref="B17:E17"/>
    <mergeCell ref="C46:E46"/>
    <mergeCell ref="C47:E47"/>
    <mergeCell ref="C49:E49"/>
    <mergeCell ref="C48:E48"/>
    <mergeCell ref="B29:E29"/>
    <mergeCell ref="B31:E31"/>
    <mergeCell ref="B33:E33"/>
    <mergeCell ref="B25:E25"/>
    <mergeCell ref="B27:E27"/>
  </mergeCells>
  <pageMargins left="0.25" right="0.25" top="0.75" bottom="0.75" header="0.3" footer="0.3"/>
  <pageSetup orientation="portrait" horizontalDpi="1200" verticalDpi="1200" r:id="rId1"/>
  <headerFooter>
    <oddHeader>&amp;L&amp;"-,Bold"&amp;12Federal Funds Ledger Notes&amp;RPrinted &amp;D</oddHeader>
    <oddFooter>&amp;L&amp;8&amp;Z&amp;F&amp;C&amp;P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5"/>
  <sheetViews>
    <sheetView workbookViewId="0">
      <selection activeCell="E14" sqref="E14"/>
    </sheetView>
  </sheetViews>
  <sheetFormatPr defaultRowHeight="14.4"/>
  <cols>
    <col min="2" max="2" width="30.109375" customWidth="1"/>
    <col min="4" max="4" width="13.5546875" bestFit="1" customWidth="1"/>
    <col min="5" max="5" width="9.44140625" bestFit="1" customWidth="1"/>
    <col min="6" max="6" width="11.88671875" bestFit="1" customWidth="1"/>
    <col min="8" max="8" width="30.109375" customWidth="1"/>
    <col min="10" max="10" width="10.5546875" bestFit="1" customWidth="1"/>
    <col min="11" max="11" width="9.44140625" bestFit="1" customWidth="1"/>
    <col min="12" max="12" width="11.88671875" bestFit="1" customWidth="1"/>
    <col min="13" max="13" width="9.109375"/>
    <col min="14" max="14" width="30.109375" customWidth="1"/>
    <col min="15" max="16" width="9.109375"/>
    <col min="17" max="17" width="9.44140625" bestFit="1" customWidth="1"/>
    <col min="18" max="18" width="11.88671875" bestFit="1" customWidth="1"/>
    <col min="20" max="20" width="30.109375" customWidth="1"/>
    <col min="23" max="23" width="9.44140625" bestFit="1" customWidth="1"/>
    <col min="24" max="24" width="11.88671875" bestFit="1" customWidth="1"/>
    <col min="26" max="26" width="41.5546875" customWidth="1"/>
    <col min="32" max="32" width="41.5546875" customWidth="1"/>
  </cols>
  <sheetData>
    <row r="1" spans="1:35" ht="15" thickBot="1">
      <c r="A1" s="218" t="s">
        <v>203</v>
      </c>
      <c r="B1" s="219"/>
      <c r="C1" s="213" t="s">
        <v>300</v>
      </c>
      <c r="D1" s="214"/>
      <c r="E1" s="215"/>
      <c r="G1" s="218" t="s">
        <v>203</v>
      </c>
      <c r="H1" s="219"/>
      <c r="I1" s="213" t="s">
        <v>276</v>
      </c>
      <c r="J1" s="214"/>
      <c r="K1" s="215"/>
      <c r="M1" s="218" t="s">
        <v>203</v>
      </c>
      <c r="N1" s="219"/>
      <c r="O1" s="213" t="s">
        <v>265</v>
      </c>
      <c r="P1" s="214"/>
      <c r="Q1" s="215"/>
      <c r="S1" s="218" t="s">
        <v>203</v>
      </c>
      <c r="T1" s="219"/>
      <c r="U1" s="213" t="s">
        <v>244</v>
      </c>
      <c r="V1" s="214"/>
      <c r="W1" s="215"/>
      <c r="Y1" s="218" t="s">
        <v>203</v>
      </c>
      <c r="Z1" s="219"/>
      <c r="AA1" s="213" t="s">
        <v>221</v>
      </c>
      <c r="AB1" s="214"/>
      <c r="AC1" s="215"/>
      <c r="AE1" s="218" t="s">
        <v>203</v>
      </c>
      <c r="AF1" s="219"/>
      <c r="AG1" s="213" t="s">
        <v>218</v>
      </c>
      <c r="AH1" s="214"/>
      <c r="AI1" s="215"/>
    </row>
    <row r="2" spans="1:35">
      <c r="A2" s="103" t="s">
        <v>204</v>
      </c>
      <c r="B2" s="104" t="s">
        <v>205</v>
      </c>
      <c r="C2" s="108" t="s">
        <v>213</v>
      </c>
      <c r="D2" s="109" t="s">
        <v>214</v>
      </c>
      <c r="E2" s="110" t="s">
        <v>10</v>
      </c>
      <c r="G2" s="103" t="s">
        <v>204</v>
      </c>
      <c r="H2" s="104" t="s">
        <v>205</v>
      </c>
      <c r="I2" s="108" t="s">
        <v>213</v>
      </c>
      <c r="J2" s="109" t="s">
        <v>214</v>
      </c>
      <c r="K2" s="110" t="s">
        <v>10</v>
      </c>
      <c r="M2" s="103" t="s">
        <v>204</v>
      </c>
      <c r="N2" s="104" t="s">
        <v>205</v>
      </c>
      <c r="O2" s="108" t="s">
        <v>213</v>
      </c>
      <c r="P2" s="109" t="s">
        <v>214</v>
      </c>
      <c r="Q2" s="110" t="s">
        <v>10</v>
      </c>
      <c r="S2" s="103" t="s">
        <v>204</v>
      </c>
      <c r="T2" s="104" t="s">
        <v>205</v>
      </c>
      <c r="U2" s="108" t="s">
        <v>213</v>
      </c>
      <c r="V2" s="109" t="s">
        <v>214</v>
      </c>
      <c r="W2" s="110" t="s">
        <v>10</v>
      </c>
      <c r="Y2" s="103" t="s">
        <v>204</v>
      </c>
      <c r="Z2" s="104" t="s">
        <v>205</v>
      </c>
      <c r="AA2" s="108" t="s">
        <v>213</v>
      </c>
      <c r="AB2" s="109" t="s">
        <v>214</v>
      </c>
      <c r="AC2" s="110" t="s">
        <v>10</v>
      </c>
      <c r="AE2" s="103" t="s">
        <v>204</v>
      </c>
      <c r="AF2" s="104" t="s">
        <v>205</v>
      </c>
      <c r="AG2" s="108" t="s">
        <v>213</v>
      </c>
      <c r="AH2" s="109" t="s">
        <v>214</v>
      </c>
      <c r="AI2" s="110" t="s">
        <v>10</v>
      </c>
    </row>
    <row r="3" spans="1:35">
      <c r="A3" s="105" t="s">
        <v>206</v>
      </c>
      <c r="B3" s="106" t="s">
        <v>207</v>
      </c>
      <c r="C3" s="105"/>
      <c r="D3" s="178">
        <v>125000</v>
      </c>
      <c r="E3" s="111">
        <f>+D3+C3</f>
        <v>125000</v>
      </c>
      <c r="G3" s="105" t="s">
        <v>206</v>
      </c>
      <c r="H3" s="106" t="s">
        <v>207</v>
      </c>
      <c r="I3" s="105"/>
      <c r="J3" s="178">
        <v>125000</v>
      </c>
      <c r="K3" s="111">
        <f>+J3+I3</f>
        <v>125000</v>
      </c>
      <c r="M3" s="105" t="s">
        <v>206</v>
      </c>
      <c r="N3" s="106" t="s">
        <v>207</v>
      </c>
      <c r="O3" s="105"/>
      <c r="P3" s="144">
        <v>125000</v>
      </c>
      <c r="Q3" s="111">
        <v>125000</v>
      </c>
      <c r="S3" s="105" t="s">
        <v>206</v>
      </c>
      <c r="T3" s="106" t="s">
        <v>207</v>
      </c>
      <c r="U3" s="105"/>
      <c r="V3" s="144">
        <v>125000</v>
      </c>
      <c r="W3" s="111">
        <f>+V3+U3</f>
        <v>125000</v>
      </c>
      <c r="Y3" s="105" t="s">
        <v>206</v>
      </c>
      <c r="Z3" s="106" t="s">
        <v>207</v>
      </c>
      <c r="AA3" s="105"/>
      <c r="AB3" s="144">
        <v>125000</v>
      </c>
      <c r="AC3" s="111">
        <f>+AB3+AA3</f>
        <v>125000</v>
      </c>
      <c r="AE3" s="105" t="s">
        <v>206</v>
      </c>
      <c r="AF3" s="106" t="s">
        <v>207</v>
      </c>
      <c r="AG3" s="105">
        <f>C3-I3</f>
        <v>0</v>
      </c>
      <c r="AH3" s="105">
        <f>D3-J3</f>
        <v>0</v>
      </c>
      <c r="AI3" s="111">
        <f>SUM(AG3:AH3)</f>
        <v>0</v>
      </c>
    </row>
    <row r="4" spans="1:35">
      <c r="A4" s="105" t="s">
        <v>206</v>
      </c>
      <c r="B4" s="106" t="s">
        <v>208</v>
      </c>
      <c r="C4" s="105"/>
      <c r="D4" s="144"/>
      <c r="E4" s="111">
        <f t="shared" ref="E4:E11" si="0">+D4+C4</f>
        <v>0</v>
      </c>
      <c r="G4" s="105" t="s">
        <v>206</v>
      </c>
      <c r="H4" s="106" t="s">
        <v>208</v>
      </c>
      <c r="I4" s="105"/>
      <c r="J4" s="144"/>
      <c r="K4" s="111">
        <f t="shared" ref="K4:K11" si="1">+J4+I4</f>
        <v>0</v>
      </c>
      <c r="M4" s="105" t="s">
        <v>206</v>
      </c>
      <c r="N4" s="106" t="s">
        <v>208</v>
      </c>
      <c r="O4" s="105"/>
      <c r="P4" s="144"/>
      <c r="Q4" s="111">
        <v>0</v>
      </c>
      <c r="S4" s="105" t="s">
        <v>206</v>
      </c>
      <c r="T4" s="106" t="s">
        <v>208</v>
      </c>
      <c r="U4" s="105"/>
      <c r="V4" s="144"/>
      <c r="W4" s="111">
        <f t="shared" ref="W4:W11" si="2">+V4+U4</f>
        <v>0</v>
      </c>
      <c r="Y4" s="105" t="s">
        <v>206</v>
      </c>
      <c r="Z4" s="106" t="s">
        <v>208</v>
      </c>
      <c r="AA4" s="105"/>
      <c r="AB4" s="144"/>
      <c r="AC4" s="111">
        <f t="shared" ref="AC4:AC11" si="3">+AB4+AA4</f>
        <v>0</v>
      </c>
      <c r="AE4" s="105" t="s">
        <v>206</v>
      </c>
      <c r="AF4" s="106" t="s">
        <v>208</v>
      </c>
      <c r="AG4" s="105">
        <f t="shared" ref="AG4:AG11" si="4">C4-I4</f>
        <v>0</v>
      </c>
      <c r="AH4" s="105">
        <f>D4-J4</f>
        <v>0</v>
      </c>
      <c r="AI4" s="111">
        <f t="shared" ref="AI4:AI11" si="5">SUM(AG4:AH4)</f>
        <v>0</v>
      </c>
    </row>
    <row r="5" spans="1:35">
      <c r="A5" s="105" t="s">
        <v>206</v>
      </c>
      <c r="B5" s="106" t="s">
        <v>209</v>
      </c>
      <c r="C5" s="177">
        <f>167116-C6</f>
        <v>162938</v>
      </c>
      <c r="D5" s="144"/>
      <c r="E5" s="111">
        <f t="shared" si="0"/>
        <v>162938</v>
      </c>
      <c r="G5" s="105" t="s">
        <v>206</v>
      </c>
      <c r="H5" s="106" t="s">
        <v>209</v>
      </c>
      <c r="I5" s="177">
        <v>159743.01999999999</v>
      </c>
      <c r="J5" s="144"/>
      <c r="K5" s="111">
        <f t="shared" si="1"/>
        <v>159743.01999999999</v>
      </c>
      <c r="M5" s="105" t="s">
        <v>206</v>
      </c>
      <c r="N5" s="106" t="s">
        <v>209</v>
      </c>
      <c r="O5" s="105">
        <v>156611.32500000001</v>
      </c>
      <c r="P5" s="144"/>
      <c r="Q5" s="111">
        <v>156611.32500000001</v>
      </c>
      <c r="S5" s="105" t="s">
        <v>206</v>
      </c>
      <c r="T5" s="106" t="s">
        <v>209</v>
      </c>
      <c r="U5" s="105">
        <v>153540</v>
      </c>
      <c r="V5" s="144"/>
      <c r="W5" s="111">
        <f t="shared" si="2"/>
        <v>153540</v>
      </c>
      <c r="Y5" s="105" t="s">
        <v>206</v>
      </c>
      <c r="Z5" s="106" t="s">
        <v>209</v>
      </c>
      <c r="AA5" s="105">
        <v>150530</v>
      </c>
      <c r="AB5" s="144"/>
      <c r="AC5" s="111">
        <f t="shared" si="3"/>
        <v>150530</v>
      </c>
      <c r="AE5" s="105" t="s">
        <v>206</v>
      </c>
      <c r="AF5" s="106" t="s">
        <v>209</v>
      </c>
      <c r="AG5" s="105">
        <f t="shared" si="4"/>
        <v>3194.9800000000105</v>
      </c>
      <c r="AH5" s="105">
        <f t="shared" ref="AH5:AH11" si="6">D5-J5</f>
        <v>0</v>
      </c>
      <c r="AI5" s="111">
        <f t="shared" si="5"/>
        <v>3194.9800000000105</v>
      </c>
    </row>
    <row r="6" spans="1:35">
      <c r="A6" s="105" t="s">
        <v>206</v>
      </c>
      <c r="B6" s="106" t="s">
        <v>230</v>
      </c>
      <c r="C6" s="177">
        <f>ROUND(167116*0.025,0)</f>
        <v>4178</v>
      </c>
      <c r="D6" s="144"/>
      <c r="E6" s="111">
        <f t="shared" si="0"/>
        <v>4178</v>
      </c>
      <c r="G6" s="105" t="s">
        <v>206</v>
      </c>
      <c r="H6" s="106" t="s">
        <v>230</v>
      </c>
      <c r="I6" s="177">
        <v>4095.98</v>
      </c>
      <c r="J6" s="144"/>
      <c r="K6" s="111">
        <f t="shared" si="1"/>
        <v>4095.98</v>
      </c>
      <c r="M6" s="105" t="s">
        <v>206</v>
      </c>
      <c r="N6" s="106" t="s">
        <v>230</v>
      </c>
      <c r="O6" s="105">
        <v>4015.6750000000002</v>
      </c>
      <c r="P6" s="144"/>
      <c r="Q6" s="111">
        <v>4015.6750000000002</v>
      </c>
      <c r="S6" s="105" t="s">
        <v>206</v>
      </c>
      <c r="T6" s="106" t="s">
        <v>230</v>
      </c>
      <c r="U6" s="105">
        <v>3937</v>
      </c>
      <c r="V6" s="144"/>
      <c r="W6" s="111">
        <f t="shared" si="2"/>
        <v>3937</v>
      </c>
      <c r="Y6" s="105" t="s">
        <v>206</v>
      </c>
      <c r="Z6" s="106" t="s">
        <v>230</v>
      </c>
      <c r="AA6" s="105">
        <v>3860</v>
      </c>
      <c r="AB6" s="144"/>
      <c r="AC6" s="111">
        <f t="shared" si="3"/>
        <v>3860</v>
      </c>
      <c r="AE6" s="105" t="s">
        <v>206</v>
      </c>
      <c r="AF6" s="106" t="s">
        <v>230</v>
      </c>
      <c r="AG6" s="105">
        <f t="shared" si="4"/>
        <v>82.019999999999982</v>
      </c>
      <c r="AH6" s="105">
        <f t="shared" si="6"/>
        <v>0</v>
      </c>
      <c r="AI6" s="111">
        <f t="shared" si="5"/>
        <v>82.019999999999982</v>
      </c>
    </row>
    <row r="7" spans="1:35">
      <c r="A7" s="105" t="s">
        <v>206</v>
      </c>
      <c r="B7" s="106" t="s">
        <v>158</v>
      </c>
      <c r="C7" s="105"/>
      <c r="D7" s="178">
        <v>0</v>
      </c>
      <c r="E7" s="111">
        <f t="shared" si="0"/>
        <v>0</v>
      </c>
      <c r="G7" s="105" t="s">
        <v>206</v>
      </c>
      <c r="H7" s="106" t="s">
        <v>158</v>
      </c>
      <c r="I7" s="105"/>
      <c r="J7" s="178">
        <v>0</v>
      </c>
      <c r="K7" s="111">
        <f t="shared" si="1"/>
        <v>0</v>
      </c>
      <c r="M7" s="105" t="s">
        <v>206</v>
      </c>
      <c r="N7" s="106" t="s">
        <v>158</v>
      </c>
      <c r="O7" s="105"/>
      <c r="P7" s="144">
        <v>0</v>
      </c>
      <c r="Q7" s="111">
        <v>0</v>
      </c>
      <c r="S7" s="105" t="s">
        <v>206</v>
      </c>
      <c r="T7" s="106" t="s">
        <v>158</v>
      </c>
      <c r="U7" s="105"/>
      <c r="V7" s="144">
        <v>0</v>
      </c>
      <c r="W7" s="111">
        <f t="shared" si="2"/>
        <v>0</v>
      </c>
      <c r="Y7" s="105" t="s">
        <v>206</v>
      </c>
      <c r="Z7" s="106" t="s">
        <v>158</v>
      </c>
      <c r="AA7" s="105"/>
      <c r="AB7" s="144">
        <v>0</v>
      </c>
      <c r="AC7" s="111">
        <f t="shared" si="3"/>
        <v>0</v>
      </c>
      <c r="AE7" s="105" t="s">
        <v>206</v>
      </c>
      <c r="AF7" s="106" t="s">
        <v>158</v>
      </c>
      <c r="AG7" s="105">
        <f t="shared" si="4"/>
        <v>0</v>
      </c>
      <c r="AH7" s="105">
        <f t="shared" si="6"/>
        <v>0</v>
      </c>
      <c r="AI7" s="111">
        <f t="shared" si="5"/>
        <v>0</v>
      </c>
    </row>
    <row r="8" spans="1:35">
      <c r="A8" s="105" t="s">
        <v>206</v>
      </c>
      <c r="B8" s="106" t="s">
        <v>223</v>
      </c>
      <c r="C8" s="105"/>
      <c r="D8" s="178">
        <v>159168</v>
      </c>
      <c r="E8" s="111">
        <f t="shared" si="0"/>
        <v>159168</v>
      </c>
      <c r="G8" s="105" t="s">
        <v>206</v>
      </c>
      <c r="H8" s="106" t="s">
        <v>223</v>
      </c>
      <c r="I8" s="105"/>
      <c r="J8" s="178">
        <v>159168</v>
      </c>
      <c r="K8" s="111">
        <f t="shared" si="1"/>
        <v>159168</v>
      </c>
      <c r="M8" s="105" t="s">
        <v>206</v>
      </c>
      <c r="N8" s="106" t="s">
        <v>223</v>
      </c>
      <c r="O8" s="105"/>
      <c r="P8" s="144">
        <v>153202</v>
      </c>
      <c r="Q8" s="111">
        <v>153202</v>
      </c>
      <c r="S8" s="105" t="s">
        <v>206</v>
      </c>
      <c r="T8" s="106" t="s">
        <v>223</v>
      </c>
      <c r="U8" s="105"/>
      <c r="V8" s="144">
        <v>153202</v>
      </c>
      <c r="W8" s="111">
        <f t="shared" si="2"/>
        <v>153202</v>
      </c>
      <c r="Y8" s="105" t="s">
        <v>206</v>
      </c>
      <c r="Z8" s="106" t="s">
        <v>223</v>
      </c>
      <c r="AA8" s="105"/>
      <c r="AB8" s="144">
        <v>153202</v>
      </c>
      <c r="AC8" s="111">
        <f t="shared" si="3"/>
        <v>153202</v>
      </c>
      <c r="AE8" s="105" t="s">
        <v>206</v>
      </c>
      <c r="AF8" s="106" t="s">
        <v>223</v>
      </c>
      <c r="AG8" s="105">
        <f t="shared" si="4"/>
        <v>0</v>
      </c>
      <c r="AH8" s="105">
        <f t="shared" si="6"/>
        <v>0</v>
      </c>
      <c r="AI8" s="111">
        <f t="shared" si="5"/>
        <v>0</v>
      </c>
    </row>
    <row r="9" spans="1:35">
      <c r="A9" s="105" t="s">
        <v>206</v>
      </c>
      <c r="B9" s="106" t="s">
        <v>224</v>
      </c>
      <c r="C9" s="105"/>
      <c r="D9" s="178">
        <v>262311</v>
      </c>
      <c r="E9" s="111">
        <f t="shared" si="0"/>
        <v>262311</v>
      </c>
      <c r="G9" s="105" t="s">
        <v>206</v>
      </c>
      <c r="H9" s="106" t="s">
        <v>224</v>
      </c>
      <c r="I9" s="105"/>
      <c r="J9" s="178">
        <v>262311</v>
      </c>
      <c r="K9" s="111">
        <f t="shared" si="1"/>
        <v>262311</v>
      </c>
      <c r="M9" s="105" t="s">
        <v>206</v>
      </c>
      <c r="N9" s="106" t="s">
        <v>224</v>
      </c>
      <c r="O9" s="105"/>
      <c r="P9" s="144">
        <v>279409</v>
      </c>
      <c r="Q9" s="111">
        <v>279409</v>
      </c>
      <c r="S9" s="105" t="s">
        <v>206</v>
      </c>
      <c r="T9" s="106" t="s">
        <v>224</v>
      </c>
      <c r="U9" s="105"/>
      <c r="V9" s="144">
        <v>279409</v>
      </c>
      <c r="W9" s="111">
        <f t="shared" si="2"/>
        <v>279409</v>
      </c>
      <c r="Y9" s="105" t="s">
        <v>206</v>
      </c>
      <c r="Z9" s="106" t="s">
        <v>224</v>
      </c>
      <c r="AA9" s="105"/>
      <c r="AB9" s="144">
        <v>279409</v>
      </c>
      <c r="AC9" s="111">
        <f t="shared" si="3"/>
        <v>279409</v>
      </c>
      <c r="AE9" s="105" t="s">
        <v>206</v>
      </c>
      <c r="AF9" s="106" t="s">
        <v>224</v>
      </c>
      <c r="AG9" s="105">
        <f t="shared" si="4"/>
        <v>0</v>
      </c>
      <c r="AH9" s="105">
        <f t="shared" si="6"/>
        <v>0</v>
      </c>
      <c r="AI9" s="111">
        <f t="shared" si="5"/>
        <v>0</v>
      </c>
    </row>
    <row r="10" spans="1:35">
      <c r="A10" s="105" t="s">
        <v>206</v>
      </c>
      <c r="B10" s="106" t="s">
        <v>210</v>
      </c>
      <c r="C10" s="105"/>
      <c r="D10" s="178">
        <v>234833</v>
      </c>
      <c r="E10" s="111">
        <f t="shared" si="0"/>
        <v>234833</v>
      </c>
      <c r="G10" s="105" t="s">
        <v>206</v>
      </c>
      <c r="H10" s="106" t="s">
        <v>210</v>
      </c>
      <c r="I10" s="105"/>
      <c r="J10" s="178">
        <v>234833</v>
      </c>
      <c r="K10" s="111">
        <f t="shared" si="1"/>
        <v>234833</v>
      </c>
      <c r="M10" s="105" t="s">
        <v>206</v>
      </c>
      <c r="N10" s="106" t="s">
        <v>210</v>
      </c>
      <c r="O10" s="105"/>
      <c r="P10" s="144">
        <v>180739</v>
      </c>
      <c r="Q10" s="111">
        <v>180739</v>
      </c>
      <c r="S10" s="105" t="s">
        <v>206</v>
      </c>
      <c r="T10" s="106" t="s">
        <v>210</v>
      </c>
      <c r="U10" s="105"/>
      <c r="V10" s="144">
        <v>180739</v>
      </c>
      <c r="W10" s="111">
        <f t="shared" si="2"/>
        <v>180739</v>
      </c>
      <c r="Y10" s="105" t="s">
        <v>206</v>
      </c>
      <c r="Z10" s="106" t="s">
        <v>210</v>
      </c>
      <c r="AA10" s="105"/>
      <c r="AB10" s="144">
        <v>180739</v>
      </c>
      <c r="AC10" s="111">
        <f t="shared" si="3"/>
        <v>180739</v>
      </c>
      <c r="AE10" s="105" t="s">
        <v>206</v>
      </c>
      <c r="AF10" s="106" t="s">
        <v>210</v>
      </c>
      <c r="AG10" s="105">
        <f t="shared" si="4"/>
        <v>0</v>
      </c>
      <c r="AH10" s="105">
        <f t="shared" si="6"/>
        <v>0</v>
      </c>
      <c r="AI10" s="111">
        <f t="shared" si="5"/>
        <v>0</v>
      </c>
    </row>
    <row r="11" spans="1:35">
      <c r="A11" s="105" t="s">
        <v>206</v>
      </c>
      <c r="B11" s="106" t="s">
        <v>233</v>
      </c>
      <c r="C11" s="177">
        <v>113078</v>
      </c>
      <c r="D11" s="146"/>
      <c r="E11" s="111">
        <f t="shared" si="0"/>
        <v>113078</v>
      </c>
      <c r="G11" s="105" t="s">
        <v>206</v>
      </c>
      <c r="H11" s="106" t="s">
        <v>233</v>
      </c>
      <c r="I11" s="177">
        <v>110861</v>
      </c>
      <c r="J11" s="146"/>
      <c r="K11" s="111">
        <f t="shared" si="1"/>
        <v>110861</v>
      </c>
      <c r="M11" s="105" t="s">
        <v>206</v>
      </c>
      <c r="N11" s="106" t="s">
        <v>233</v>
      </c>
      <c r="O11" s="105">
        <v>108687</v>
      </c>
      <c r="P11" s="146"/>
      <c r="Q11" s="111">
        <v>108687</v>
      </c>
      <c r="S11" s="105" t="s">
        <v>206</v>
      </c>
      <c r="T11" s="106" t="s">
        <v>233</v>
      </c>
      <c r="U11" s="105">
        <v>120035</v>
      </c>
      <c r="V11" s="146"/>
      <c r="W11" s="111">
        <f t="shared" si="2"/>
        <v>120035</v>
      </c>
      <c r="Y11" s="105" t="s">
        <v>206</v>
      </c>
      <c r="Z11" s="106" t="s">
        <v>233</v>
      </c>
      <c r="AA11" s="105">
        <v>117681</v>
      </c>
      <c r="AB11" s="146"/>
      <c r="AC11" s="111">
        <f t="shared" si="3"/>
        <v>117681</v>
      </c>
      <c r="AE11" s="105" t="s">
        <v>206</v>
      </c>
      <c r="AF11" s="106" t="s">
        <v>233</v>
      </c>
      <c r="AG11" s="105">
        <f t="shared" si="4"/>
        <v>2217</v>
      </c>
      <c r="AH11" s="105">
        <f t="shared" si="6"/>
        <v>0</v>
      </c>
      <c r="AI11" s="111">
        <f t="shared" si="5"/>
        <v>2217</v>
      </c>
    </row>
    <row r="12" spans="1:35">
      <c r="A12" s="105"/>
      <c r="B12" s="166" t="s">
        <v>211</v>
      </c>
      <c r="C12" s="167">
        <f>SUM(C3:C11)</f>
        <v>280194</v>
      </c>
      <c r="D12" s="145">
        <f>SUM(D3:D11)</f>
        <v>781312</v>
      </c>
      <c r="E12" s="122">
        <f>SUM(E3:E11)</f>
        <v>1061506</v>
      </c>
      <c r="G12" s="105"/>
      <c r="H12" s="166" t="s">
        <v>211</v>
      </c>
      <c r="I12" s="167">
        <f>SUM(I3:I11)</f>
        <v>274700</v>
      </c>
      <c r="J12" s="145">
        <f>SUM(J3:J11)</f>
        <v>781312</v>
      </c>
      <c r="K12" s="122">
        <f>SUM(K3:K11)</f>
        <v>1056012</v>
      </c>
      <c r="M12" s="105"/>
      <c r="N12" s="166" t="s">
        <v>211</v>
      </c>
      <c r="O12" s="167">
        <v>269314</v>
      </c>
      <c r="P12" s="145">
        <v>738350</v>
      </c>
      <c r="Q12" s="122">
        <v>1007664</v>
      </c>
      <c r="S12" s="105"/>
      <c r="T12" s="166" t="s">
        <v>211</v>
      </c>
      <c r="U12" s="167">
        <f>SUM(U3:U11)</f>
        <v>277512</v>
      </c>
      <c r="V12" s="145">
        <f>SUM(V3:V11)</f>
        <v>738350</v>
      </c>
      <c r="W12" s="122">
        <f>SUM(W3:W11)</f>
        <v>1015862</v>
      </c>
      <c r="Y12" s="105"/>
      <c r="Z12" s="166" t="s">
        <v>211</v>
      </c>
      <c r="AA12" s="167">
        <f>SUM(AA3:AA11)</f>
        <v>272071</v>
      </c>
      <c r="AB12" s="145">
        <f t="shared" ref="AB12:AC12" si="7">SUM(AB3:AB11)</f>
        <v>738350</v>
      </c>
      <c r="AC12" s="122">
        <f t="shared" si="7"/>
        <v>1010421</v>
      </c>
      <c r="AE12" s="105"/>
      <c r="AF12" s="166" t="s">
        <v>211</v>
      </c>
      <c r="AG12" s="167">
        <f>SUM(AG3:AG11)</f>
        <v>5494.0000000000109</v>
      </c>
      <c r="AH12" s="145">
        <f>SUM(AH3:AH11)</f>
        <v>0</v>
      </c>
      <c r="AI12" s="122">
        <f>SUM(AI3:AI11)</f>
        <v>5494.0000000000109</v>
      </c>
    </row>
    <row r="13" spans="1:35" ht="15" thickBot="1">
      <c r="A13" s="105"/>
      <c r="B13" s="107" t="s">
        <v>212</v>
      </c>
      <c r="C13" s="216" t="s">
        <v>215</v>
      </c>
      <c r="D13" s="217"/>
      <c r="E13" s="112">
        <f>ROUND(E12*0.949,0)</f>
        <v>1007369</v>
      </c>
      <c r="G13" s="105"/>
      <c r="H13" s="107" t="s">
        <v>212</v>
      </c>
      <c r="I13" s="216" t="s">
        <v>215</v>
      </c>
      <c r="J13" s="217"/>
      <c r="K13" s="112">
        <f>K12*0.949</f>
        <v>1002155.3879999999</v>
      </c>
      <c r="M13" s="105"/>
      <c r="N13" s="107" t="s">
        <v>212</v>
      </c>
      <c r="O13" s="216" t="s">
        <v>215</v>
      </c>
      <c r="P13" s="217"/>
      <c r="Q13" s="112">
        <f>Q12*0.949</f>
        <v>956273.13599999994</v>
      </c>
      <c r="S13" s="105"/>
      <c r="T13" s="107" t="s">
        <v>212</v>
      </c>
      <c r="U13" s="216" t="s">
        <v>215</v>
      </c>
      <c r="V13" s="217"/>
      <c r="W13" s="112">
        <f>W12*0.949</f>
        <v>964053.03799999994</v>
      </c>
      <c r="Y13" s="105"/>
      <c r="Z13" s="107" t="s">
        <v>212</v>
      </c>
      <c r="AA13" s="216" t="s">
        <v>215</v>
      </c>
      <c r="AB13" s="217"/>
      <c r="AC13" s="112">
        <f>AC12*0.949</f>
        <v>958889.52899999998</v>
      </c>
      <c r="AE13" s="105"/>
      <c r="AF13" s="107" t="s">
        <v>212</v>
      </c>
      <c r="AG13" s="216" t="s">
        <v>215</v>
      </c>
      <c r="AH13" s="217"/>
      <c r="AI13" s="112">
        <f>AI12*0.949</f>
        <v>5213.8060000000105</v>
      </c>
    </row>
    <row r="14" spans="1:35">
      <c r="D14" t="s">
        <v>216</v>
      </c>
      <c r="J14" t="s">
        <v>216</v>
      </c>
      <c r="P14" t="s">
        <v>216</v>
      </c>
      <c r="V14" t="s">
        <v>216</v>
      </c>
      <c r="AI14" s="121"/>
    </row>
    <row r="15" spans="1:35">
      <c r="D15" s="113">
        <f>E13-'Federal Funds Transactions'!Y5</f>
        <v>0</v>
      </c>
      <c r="E15" t="s">
        <v>217</v>
      </c>
      <c r="J15" s="113">
        <f>K13-'Federal Funds Transactions'!Y5</f>
        <v>-5213.612000000081</v>
      </c>
      <c r="K15" t="s">
        <v>217</v>
      </c>
      <c r="P15" s="113"/>
      <c r="Q15" t="s">
        <v>217</v>
      </c>
      <c r="V15" s="113">
        <f>W13-'Federal Funds Transactions'!AK5</f>
        <v>964053.03799999994</v>
      </c>
      <c r="W15" t="s">
        <v>217</v>
      </c>
    </row>
  </sheetData>
  <mergeCells count="18">
    <mergeCell ref="AE1:AF1"/>
    <mergeCell ref="AG1:AI1"/>
    <mergeCell ref="AG13:AH13"/>
    <mergeCell ref="G1:H1"/>
    <mergeCell ref="I1:K1"/>
    <mergeCell ref="I13:J13"/>
    <mergeCell ref="Y1:Z1"/>
    <mergeCell ref="AA1:AC1"/>
    <mergeCell ref="AA13:AB13"/>
    <mergeCell ref="M1:N1"/>
    <mergeCell ref="O1:Q1"/>
    <mergeCell ref="O13:P13"/>
    <mergeCell ref="S1:T1"/>
    <mergeCell ref="U1:W1"/>
    <mergeCell ref="U13:V13"/>
    <mergeCell ref="A1:B1"/>
    <mergeCell ref="C1:E1"/>
    <mergeCell ref="C13:D1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Federal Funds Transactions</vt:lpstr>
      <vt:lpstr>Regional Loans and Transfers</vt:lpstr>
      <vt:lpstr>Notes</vt:lpstr>
      <vt:lpstr>FY26 Apportionments</vt:lpstr>
      <vt:lpstr>'Federal Funds Transactions'!Print_Area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dc:creator>
  <cp:lastModifiedBy>Katherine Koster</cp:lastModifiedBy>
  <cp:lastPrinted>2014-07-03T17:00:58Z</cp:lastPrinted>
  <dcterms:created xsi:type="dcterms:W3CDTF">2013-05-11T20:19:37Z</dcterms:created>
  <dcterms:modified xsi:type="dcterms:W3CDTF">2026-01-02T22:21:46Z</dcterms:modified>
</cp:coreProperties>
</file>