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8_{C50D939A-DB0F-48A4-B7D0-07FF721292AD}"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Transactions'!$A$1:$T$52</definedName>
    <definedName name="Query_from_MS_Access_Database" localSheetId="0" hidden="1">'Federal Funds Transactions'!$A$15:$W$21</definedName>
    <definedName name="Query_from_MS_Access_Database" localSheetId="1" hidden="1">'Regional Loans and Transfers'!$A$11:$T$71</definedName>
    <definedName name="Query_from_MS_Access_Database_1" localSheetId="0" hidden="1">'Federal Funds Transactions'!$A$32:$W$39</definedName>
    <definedName name="Query_from_MS_Access_Database_1" localSheetId="1" hidden="1">'Regional Loans and Transfers'!$A$128:$T$188</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X17" i="1"/>
  <c r="X18" i="1"/>
  <c r="X19" i="1"/>
  <c r="X20" i="1"/>
  <c r="X21" i="1"/>
  <c r="X33" i="1"/>
  <c r="X34" i="1"/>
  <c r="X35" i="1"/>
  <c r="X36" i="1"/>
  <c r="X37" i="1"/>
  <c r="X38" i="1"/>
  <c r="X39" i="1"/>
  <c r="C4" i="4" l="1"/>
  <c r="C5" i="4" l="1"/>
  <c r="Y11" i="1" l="1"/>
  <c r="W11" i="1"/>
  <c r="V11" i="1"/>
  <c r="U11" i="1"/>
  <c r="T11" i="1"/>
  <c r="S11" i="1"/>
  <c r="R11" i="1"/>
  <c r="Q11" i="1"/>
  <c r="P11" i="1"/>
  <c r="O11" i="1"/>
  <c r="N11" i="1"/>
  <c r="M11" i="1"/>
  <c r="Y10" i="1"/>
  <c r="W10" i="1"/>
  <c r="V10" i="1"/>
  <c r="U10" i="1"/>
  <c r="T10" i="1"/>
  <c r="S10" i="1"/>
  <c r="R10" i="1"/>
  <c r="Q10" i="1"/>
  <c r="P10" i="1"/>
  <c r="O10" i="1"/>
  <c r="N10" i="1"/>
  <c r="M10" i="1"/>
  <c r="Y9" i="1"/>
  <c r="W9" i="1"/>
  <c r="V9" i="1"/>
  <c r="U9" i="1"/>
  <c r="T9" i="1"/>
  <c r="S9" i="1"/>
  <c r="R9" i="1"/>
  <c r="Q9" i="1"/>
  <c r="P9" i="1"/>
  <c r="O9" i="1"/>
  <c r="N9" i="1"/>
  <c r="M9" i="1"/>
  <c r="Y8" i="1"/>
  <c r="W8" i="1"/>
  <c r="W4" i="1" s="1"/>
  <c r="V8" i="1"/>
  <c r="U8" i="1"/>
  <c r="T8" i="1"/>
  <c r="S8" i="1"/>
  <c r="R8" i="1"/>
  <c r="Q8" i="1"/>
  <c r="P8" i="1"/>
  <c r="O8" i="1"/>
  <c r="N8" i="1"/>
  <c r="M8" i="1"/>
  <c r="Y7" i="1"/>
  <c r="W7" i="1"/>
  <c r="V7" i="1"/>
  <c r="U7" i="1"/>
  <c r="T7" i="1"/>
  <c r="S7" i="1"/>
  <c r="R7" i="1"/>
  <c r="Q7" i="1"/>
  <c r="P7" i="1"/>
  <c r="O7" i="1"/>
  <c r="N7" i="1"/>
  <c r="M7" i="1"/>
  <c r="Y6" i="1"/>
  <c r="W6" i="1"/>
  <c r="V6" i="1"/>
  <c r="U6" i="1"/>
  <c r="T6" i="1"/>
  <c r="S6" i="1"/>
  <c r="R6" i="1"/>
  <c r="Q6" i="1"/>
  <c r="P6" i="1"/>
  <c r="O6" i="1"/>
  <c r="N6" i="1"/>
  <c r="M6" i="1"/>
  <c r="J11" i="4"/>
  <c r="K10" i="4"/>
  <c r="K9" i="4"/>
  <c r="K8" i="4"/>
  <c r="K7" i="4"/>
  <c r="K6" i="4"/>
  <c r="I5" i="4"/>
  <c r="K5" i="4" s="1"/>
  <c r="I4" i="4"/>
  <c r="K4" i="4" s="1"/>
  <c r="K3" i="4"/>
  <c r="K11" i="4" l="1"/>
  <c r="K12" i="4" s="1"/>
  <c r="J14" i="4" s="1"/>
  <c r="I11" i="4"/>
  <c r="AG3" i="4" l="1"/>
  <c r="AH10" i="4"/>
  <c r="AH9" i="4"/>
  <c r="AH8" i="4"/>
  <c r="AH7" i="4"/>
  <c r="AH6" i="4"/>
  <c r="AH5" i="4"/>
  <c r="AH4" i="4"/>
  <c r="AH3" i="4"/>
  <c r="AG4" i="4"/>
  <c r="AG5" i="4"/>
  <c r="AG6" i="4"/>
  <c r="AG7" i="4"/>
  <c r="AG8" i="4"/>
  <c r="AG9" i="4"/>
  <c r="AG10" i="4"/>
  <c r="P11" i="4"/>
  <c r="Q10" i="4"/>
  <c r="Q9" i="4"/>
  <c r="Q8" i="4"/>
  <c r="Q7" i="4"/>
  <c r="Q6" i="4"/>
  <c r="Q5" i="4"/>
  <c r="Q4" i="4"/>
  <c r="O4" i="4"/>
  <c r="O11" i="4" s="1"/>
  <c r="Q3" i="4"/>
  <c r="Q11" i="4" l="1"/>
  <c r="Q12" i="4" s="1"/>
  <c r="P14" i="4" s="1"/>
  <c r="V11" i="4"/>
  <c r="U11" i="4"/>
  <c r="W10" i="4"/>
  <c r="W9" i="4"/>
  <c r="W8" i="4"/>
  <c r="W7" i="4"/>
  <c r="W6" i="4"/>
  <c r="W5" i="4"/>
  <c r="W4" i="4"/>
  <c r="W3" i="4"/>
  <c r="W11" i="4" s="1"/>
  <c r="W12" i="4" s="1"/>
  <c r="V14" i="4" s="1"/>
  <c r="X43" i="1" l="1"/>
  <c r="O5" i="1"/>
  <c r="P5" i="1"/>
  <c r="Q5" i="1"/>
  <c r="R5" i="1"/>
  <c r="S5" i="1"/>
  <c r="T5" i="1"/>
  <c r="U5" i="1"/>
  <c r="W5" i="1"/>
  <c r="W28" i="1"/>
  <c r="W43" i="1"/>
  <c r="X4" i="1"/>
  <c r="D13" i="2"/>
  <c r="E12" i="2"/>
  <c r="E11" i="2"/>
  <c r="E10" i="2"/>
  <c r="AI7" i="4"/>
  <c r="AI9" i="4"/>
  <c r="AI5" i="4"/>
  <c r="AI6" i="4"/>
  <c r="AG11" i="4"/>
  <c r="AI10" i="4"/>
  <c r="AC5" i="4"/>
  <c r="AC6" i="4"/>
  <c r="AC7" i="4"/>
  <c r="AC8" i="4"/>
  <c r="AC9" i="4"/>
  <c r="AC10" i="4"/>
  <c r="AB11" i="4"/>
  <c r="AA11" i="4"/>
  <c r="E10" i="4"/>
  <c r="D11" i="4"/>
  <c r="AH11" i="4" s="1"/>
  <c r="C11" i="4"/>
  <c r="E5" i="4"/>
  <c r="E6" i="4"/>
  <c r="E7" i="4"/>
  <c r="E8" i="4"/>
  <c r="N43" i="1"/>
  <c r="O43" i="1"/>
  <c r="P43" i="1"/>
  <c r="Q43" i="1"/>
  <c r="R43" i="1"/>
  <c r="S43" i="1"/>
  <c r="T43" i="1"/>
  <c r="U43" i="1"/>
  <c r="V43" i="1"/>
  <c r="M43" i="1"/>
  <c r="N28" i="1"/>
  <c r="O28" i="1"/>
  <c r="P28" i="1"/>
  <c r="Q28" i="1"/>
  <c r="R28" i="1"/>
  <c r="S28" i="1"/>
  <c r="T28" i="1"/>
  <c r="U28" i="1"/>
  <c r="V28" i="1"/>
  <c r="M28" i="1"/>
  <c r="T50" i="1"/>
  <c r="U50" i="1"/>
  <c r="V50" i="1"/>
  <c r="P50" i="1"/>
  <c r="AI4" i="4"/>
  <c r="AC4" i="4"/>
  <c r="AC3" i="4"/>
  <c r="E4" i="4"/>
  <c r="E9" i="4"/>
  <c r="E3" i="4"/>
  <c r="AI3" i="4"/>
  <c r="N50" i="1"/>
  <c r="O50" i="1"/>
  <c r="Q50" i="1"/>
  <c r="R50" i="1"/>
  <c r="S50" i="1"/>
  <c r="W50" i="1"/>
  <c r="M50" i="1"/>
  <c r="Y50" i="1"/>
  <c r="B5" i="3"/>
  <c r="A7" i="3"/>
  <c r="A1" i="3"/>
  <c r="AC11" i="4" l="1"/>
  <c r="AC12" i="4" s="1"/>
  <c r="E11" i="4"/>
  <c r="E12" i="4" s="1"/>
  <c r="AI11" i="4"/>
  <c r="AI12" i="4" s="1"/>
  <c r="AI8" i="4"/>
  <c r="X5" i="1"/>
  <c r="Y5" i="1" s="1"/>
  <c r="X9" i="1"/>
  <c r="R12" i="1"/>
  <c r="R29" i="1" s="1"/>
  <c r="R44" i="1" s="1"/>
  <c r="R49" i="1" s="1"/>
  <c r="R52" i="1" s="1"/>
  <c r="P12" i="1"/>
  <c r="P29" i="1" s="1"/>
  <c r="P44" i="1" s="1"/>
  <c r="P49" i="1" s="1"/>
  <c r="P51" i="1" s="1"/>
  <c r="T12" i="1"/>
  <c r="T29" i="1" s="1"/>
  <c r="T44" i="1" s="1"/>
  <c r="T49" i="1" s="1"/>
  <c r="T52" i="1" s="1"/>
  <c r="W12" i="1"/>
  <c r="W29" i="1" s="1"/>
  <c r="W44" i="1" s="1"/>
  <c r="W49" i="1" s="1"/>
  <c r="X10" i="1"/>
  <c r="X8" i="1"/>
  <c r="U12" i="1"/>
  <c r="U29" i="1" s="1"/>
  <c r="U44" i="1" s="1"/>
  <c r="U49" i="1" s="1"/>
  <c r="X7" i="1"/>
  <c r="N12" i="1"/>
  <c r="N29" i="1" s="1"/>
  <c r="N44" i="1" s="1"/>
  <c r="N49" i="1" s="1"/>
  <c r="N51" i="1" s="1"/>
  <c r="W45" i="1"/>
  <c r="Q45" i="1"/>
  <c r="T45" i="1"/>
  <c r="P45" i="1"/>
  <c r="N45" i="1"/>
  <c r="X11" i="1"/>
  <c r="V12" i="1"/>
  <c r="V29" i="1" s="1"/>
  <c r="V44" i="1" s="1"/>
  <c r="V49" i="1" s="1"/>
  <c r="V51" i="1" s="1"/>
  <c r="O12" i="1"/>
  <c r="S12" i="1"/>
  <c r="S29" i="1" s="1"/>
  <c r="S44" i="1" s="1"/>
  <c r="S49" i="1" s="1"/>
  <c r="S51" i="1" s="1"/>
  <c r="X50" i="1"/>
  <c r="X6" i="1"/>
  <c r="Q12" i="1"/>
  <c r="Q29" i="1" s="1"/>
  <c r="Q44" i="1" s="1"/>
  <c r="Q49" i="1" s="1"/>
  <c r="Q51" i="1" s="1"/>
  <c r="M12" i="1"/>
  <c r="M29" i="1" s="1"/>
  <c r="M44" i="1" s="1"/>
  <c r="M49" i="1" s="1"/>
  <c r="O45" i="1"/>
  <c r="M45" i="1"/>
  <c r="V45" i="1"/>
  <c r="U45" i="1"/>
  <c r="S45" i="1"/>
  <c r="R45" i="1"/>
  <c r="X28" i="1"/>
  <c r="X45" i="1" s="1"/>
  <c r="O29" i="1" l="1"/>
  <c r="O44" i="1" s="1"/>
  <c r="O49" i="1" s="1"/>
  <c r="O51" i="1" s="1"/>
  <c r="D14" i="4"/>
  <c r="Y12" i="1"/>
  <c r="X12" i="1"/>
  <c r="X29" i="1" s="1"/>
  <c r="X44" i="1" s="1"/>
  <c r="T51" i="1"/>
  <c r="V52" i="1"/>
  <c r="Q52" i="1"/>
  <c r="S52" i="1"/>
  <c r="R51" i="1"/>
  <c r="U52" i="1"/>
  <c r="U51" i="1"/>
  <c r="W52" i="1"/>
  <c r="X52" i="1" s="1"/>
  <c r="W51" i="1"/>
  <c r="M51" i="1"/>
  <c r="Y33" i="1"/>
  <c r="Y16" i="1"/>
  <c r="X49" i="1" l="1"/>
  <c r="X51" i="1"/>
  <c r="Y17" i="1"/>
  <c r="Y34" i="1"/>
  <c r="Y35" i="1"/>
  <c r="Y18" i="1"/>
  <c r="Y19" i="1"/>
  <c r="Y36" i="1"/>
  <c r="Y37" i="1"/>
  <c r="Y20" i="1"/>
  <c r="Y21" i="1"/>
  <c r="Y38" i="1"/>
  <c r="Y39" i="1"/>
  <c r="Y49" i="1" l="1"/>
  <c r="Y51"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9-YMPO LEDGER`.`ADOT#`, `09-YMPO LEDGER`.`TIP#`, `09-YMPO LEDGER`.Sponsor, `09-YMPO LEDGER`.`Action/15`, `09-YMPO LEDGER`.Location, `09-YMPO LEDGER`.RTE, `09-YMPO LEDGER`.SEC, `09-YMPO LEDGER`.SEQ, `09-YMPO LEDGER`.`PB Expected`, `09-YMPO LEDGER`.`PB Received`, `09-YMPO LEDGER`.`PF Transmitted`, `09-YMPO LEDGER`.`Finance Authorization`, `09-YMPO LEDGER`.`HURF EXCHANGE` as `HURF EX`, `09-YMPO LEDGER`.HSIP, `09-YMPO LEDGER`.PL,`09-YMPO LEDGER`.`PL-SATO`, `09-YMPO LEDGER`.SPR, `09-YMPO LEDGER`.`STP &lt;5`, `09-YMPO LEDGER`.`STP 5-200`,`09-YMPO LEDGER`.`STP 5-50`,`09-YMPO LEDGER`.`STP 50-200`,  `09-YMPO LEDGER`.`STP OTHER`,`09-YMPO LEDGER`.`CRP 50-200`_x000d__x000a_FROM `G:\FMS\RESOURCE\ACCESS\010614 PBPF\011614 PBPF front.accdb`.`09-YMPO LEDGER` `09-YMPO LEDGER`_x000d__x000a_WHERE (`09-YMPO LEDGER`.`ADOT#`&lt;&gt;'Trick') AND (`09-YMPO LEDGER`.`Finance Authorization`&gt;=#10/1/2025# AND `09-YMPO LEDGER`.`Finance Authorization`&lt;=#9/30/2026#)_x000d__x000a_ORDER BY `09-Y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9-YMPOqryLedgerApportsCrosstab`.`Transaction Year`, `09-YMPOqryLedgerApportsCrosstab`.`Transaction Type`, `09-YMPOqryLedgerApportsCrosstab`.Number, `09-YMPOqryLedgerApportsCrosstab`.`From`, `09-YMPOqryLedgerApportsCrosstab`.To, `09-YMPOqryLedgerApportsCrosstab`.`Repayment Year`, `09-YMPOqryLedgerApportsCrosstab`.Project8, `09-YMPOqryLedgerApportsCrosstab`.Notes, `09-YMPOqryLedgerApportsCrosstab`.Total, `09-YMPOqryLedgerApportsCrosstab`.`HURF EXCHANGE`, `09-YMPOqryLedgerApportsCrosstab`.HSIP, `09-YMPOqryLedgerApportsCrosstab`.PLAN, `09-YMPOqryLedgerApportsCrosstab`.`PLAN SATO`, `09-YMPOqryLedgerApportsCrosstab`.SPR, `09-YMPOqryLedgerApportsCrosstab`.`STP &lt;5`, `09-YMPOqryLedgerApportsCrosstab`.`STP 5-2`, `09-YMPOqryLedgerApportsCrosstab`.`STP 5-50`,`09-YMPOqryLedgerApportsCrosstab`.`STP 50-200`, `09-YMPOqryLedgerApportsCrosstab`.`STP Flex`, `09-YMPOqryLedgerApportsCrosstab`.`TAP &lt;5`, `09-YMPOqryLedgerApportsCrosstab`.`TAP 5-2`, `09-YMPOqryLedgerApportsCrosstab`.`TAP Flex`,`09-YMPOqryLedgerApportsCrosstab`.`CRP 50-200`_x000d__x000a_FROM `G:\FMS\RESOURCE\ACCESS\010614 PBPF\011614 PBPF front.accdb`.`09-YMPOqryLedgerApportsCrosstab` `09-YMPOqryLedgerApportsCrosstab`_x000d__x000a_WHERE (`09-YMPO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9-YMPOqryLedgerOACrosstab`.`Transaction Year`, `09-YMPOqryLedgerOACrosstab`.`Transaction Type`, `09-YMPOqryLedgerOACrosstab`.Number, `09-YMPOqryLedgerOACrosstab`.`From`, `09-YMPOqryLedgerOACrosstab`.To, `09-YMPOqryLedgerOACrosstab`.`Repayment Year`, `09-YMPOqryLedgerOACrosstab`.Project8, `09-YMPOqryLedgerOACrosstab`.Notes, `09-YMPOqryLedgerOACrosstab`.Total, `09-YMPOqryLedgerOACrosstab`.`HURF EXCHANGE`, `09-YMPOqryLedgerOACrosstab`.HSIP, `09-YMPOqryLedgerOACrosstab`.PLAN, `09-YMPOqryLedgerOACrosstab`.`PLAN SATO`,`09-YMPOqryLedgerOACrosstab`.SPR, `09-YMPOqryLedgerOACrosstab`.`STP &lt;5`, `09-YMPOqryLedgerOACrosstab`.`STP 5-2`,`09-YMPOqryLedgerOACrosstab`.`STP 5-50`, `09-YMPOqryLedgerOACrosstab`.`STP 50-200`, `09-YMPOqryLedgerOACrosstab`.`STP Flex`, `09-YMPOqryLedgerOACrosstab`.`TAP &lt;5`, `09-YMPOqryLedgerOACrosstab`.`TAP 5-2`, `09-YMPOqryLedgerOACrosstab`.`TAP Flex`, `09-YMPOqryLedgerOACrosstab`.`CRP 50-200`_x000d__x000a_FROM `G:\FMS\RESOURCE\ACCESS\010614 PBPF\011614 PBPF front.accdb`.`09-YMPOqryLedgerOACrosstab` `09-YMPOqryLedgerOACrosstab`_x000d__x000a_WHERE (`09-YMPO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9-YMPO LEDGER`.`ADOT#`, `09-YMPO LEDGER`.`TIP#`, `09-YMPO LEDGER`.Sponsor, `09-YMPO LEDGER`.`Action/15`, `09-YMPO LEDGER`.Location, `09-YMPO LEDGER`.RTE, `09-YMPO LEDGER`.SEC, `09-YMPO LEDGER`.SEQ, `09-YMPO LEDGER`.`PB Expected`, `09-YMPO LEDGER`.`PB Received`, `09-YMPO LEDGER`.`PF Transmitted`, `09-YMPO LEDGER`.`Finance Authorization`, `09-YMPO LEDGER`.`HURF EXCHANGE` as `HURF EX`, `09-YMPO LEDGER`.HSIP, `09-YMPO LEDGER`.PL,`09-YMPO LEDGER`.`PL-SATO`,  `09-YMPO LEDGER`.SPR, `09-YMPO LEDGER`.`STP &lt;5`, `09-YMPO LEDGER`.`STP 5-200`,`09-YMPO LEDGER`.`STP 5-50`,`09-YMPO LEDGER`.`STP 50-200`,  `09-YMPO LEDGER`.`STP OTHER`,`09-YMPO LEDGER`.`CRP 50-200`_x000d__x000a_FROM `G:\FMS\RESOURCE\ACCESS\010614 PBPF\011614 PBPF front.accdb`.`09-YMPO LEDGER` `09-YMPO LEDGER`_x000d__x000a_WHERE (`09-YMPO LEDGER`.`ADOT#` Not Like 'Trick') AND (`09-YMPO LEDGER`.`Finance Authorization` Is Null) AND ((`09-YMPO LEDGER`.`PB Expected`&gt;=#10/1/2025# and `PB Expected`&lt;=#9/30/2026#) OR (`09-YMPO LEDGER`.`PB Received`&gt;=#10/1/2025# and `PB Received`&lt;=#9/30/2026#) OR (`09-YMPO LEDGER`.`PF Transmitted`&gt;=#10/1/2025# and `PF Transmitted`&lt;=#9/30/2026#))_x000d__x000a_ORDER BY `09-YMPO LEDGER`.`ADOT#`"/>
  </connection>
</connections>
</file>

<file path=xl/sharedStrings.xml><?xml version="1.0" encoding="utf-8"?>
<sst xmlns="http://schemas.openxmlformats.org/spreadsheetml/2006/main" count="1409" uniqueCount="302">
  <si>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</si>
  <si>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</si>
  <si>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</si>
  <si>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</si>
  <si>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</si>
  <si>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</si>
  <si>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</si>
  <si>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</si>
  <si>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</si>
  <si>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</si>
  <si>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</si>
  <si>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</si>
  <si>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</si>
  <si>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</si>
  <si>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</si>
  <si>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</si>
  <si>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</si>
  <si>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</si>
  <si>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</si>
  <si>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</si>
  <si>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</si>
  <si>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</si>
  <si>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</si>
  <si>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</si>
  <si>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</si>
  <si>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</si>
  <si>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</si>
  <si>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</si>
  <si>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</si>
  <si>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</si>
  <si>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</si>
  <si>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</si>
  <si>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</si>
  <si>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</si>
  <si>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</si>
  <si>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</si>
  <si>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</si>
  <si>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</si>
  <si>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</si>
  <si>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</si>
  <si>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</si>
  <si>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</si>
  <si>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</si>
  <si>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</si>
  <si>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</si>
  <si>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</si>
  <si>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</si>
  <si>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</si>
  <si>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</si>
  <si>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</si>
  <si>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</si>
  <si>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</si>
  <si>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</si>
  <si>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TOTAL</t>
  </si>
  <si>
    <t>SPR /4</t>
  </si>
  <si>
    <t>SPR apportionment availability for approved work program</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</si>
  <si>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</si>
  <si>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</si>
  <si>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</si>
  <si>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</si>
  <si>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</si>
  <si>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</si>
  <si>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</si>
  <si>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</si>
  <si>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</si>
  <si>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</si>
  <si>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</si>
  <si>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</si>
  <si>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</si>
  <si>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</si>
  <si>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</si>
  <si>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</si>
  <si>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</si>
  <si>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</si>
  <si>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</si>
  <si>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</si>
  <si>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</si>
  <si>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</si>
  <si>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</si>
  <si>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</si>
  <si>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</si>
  <si>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TOTAL OF AMOUNT</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</si>
  <si>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</si>
  <si>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</si>
  <si>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</si>
  <si>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</si>
  <si>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</si>
  <si>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Yuma Metropolitan Planning Organization</t>
  </si>
  <si>
    <t>YMPO</t>
  </si>
  <si>
    <t>Loan In</t>
  </si>
  <si>
    <t>Loan Out</t>
  </si>
  <si>
    <t>Repayment In</t>
  </si>
  <si>
    <t>Repayment Out</t>
  </si>
  <si>
    <t>ADOT</t>
  </si>
  <si>
    <t>2014</t>
  </si>
  <si>
    <t>NACOG14-L004</t>
  </si>
  <si>
    <t>NACOG</t>
  </si>
  <si>
    <t>2019</t>
  </si>
  <si>
    <t>2014 LOAN FROM NACOG TO YMPO</t>
  </si>
  <si>
    <t>REPAYMENT OF 2014 LOAN FROM NACOG TO YMPO</t>
  </si>
  <si>
    <t>YMPO14-L001</t>
  </si>
  <si>
    <t>SEAGO</t>
  </si>
  <si>
    <t>2016</t>
  </si>
  <si>
    <t>YMPO HSIP LOAN TO SEAGO</t>
  </si>
  <si>
    <t>SEAGO REPAYMENT OF 2014 HSIP LOAN FROM YMPO</t>
  </si>
  <si>
    <t>YMPO14-L002</t>
  </si>
  <si>
    <t>ADOT STP LOAN TO YMPO</t>
  </si>
  <si>
    <t>2015</t>
  </si>
  <si>
    <t>YMPO REPAYMENT OF 2014 STP LOAN FROM ADOT</t>
  </si>
  <si>
    <t>2015,16,19</t>
  </si>
  <si>
    <t>Current FFY
Apportionments /5</t>
  </si>
  <si>
    <t>Lapsing</t>
  </si>
  <si>
    <t>YMPO-LP01</t>
  </si>
  <si>
    <t>YMPO LAPSING FUNDS - FFY14</t>
  </si>
  <si>
    <t>SEAGOYMPO16-L1</t>
  </si>
  <si>
    <t>2017</t>
  </si>
  <si>
    <t>SEAGO HSIP Loan to YMPO</t>
  </si>
  <si>
    <t>YMPOADOT-15L1</t>
  </si>
  <si>
    <t>YMPO STP Loan to ADOT</t>
  </si>
  <si>
    <t>0</t>
  </si>
  <si>
    <t>YMPOADOT-17L1</t>
  </si>
  <si>
    <t>2018</t>
  </si>
  <si>
    <t>SZ17801C</t>
  </si>
  <si>
    <t>STP &lt;5</t>
  </si>
  <si>
    <t>YMP</t>
  </si>
  <si>
    <t>S</t>
  </si>
  <si>
    <t>P</t>
  </si>
  <si>
    <t>Transfer Out</t>
  </si>
  <si>
    <t>YMPOADOT-17T1</t>
  </si>
  <si>
    <t>H810201C</t>
  </si>
  <si>
    <t>YMPO HSIP Transfer to ADOT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</si>
  <si>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</si>
  <si>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</si>
  <si>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</si>
  <si>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T003001C</t>
  </si>
  <si>
    <t>PLAN</t>
  </si>
  <si>
    <t>STP Flex</t>
  </si>
  <si>
    <t>HURF EX</t>
  </si>
  <si>
    <t>HURF EXCHANGE</t>
  </si>
  <si>
    <t>STP 5-200</t>
  </si>
  <si>
    <t>T017901D</t>
  </si>
  <si>
    <t>YMPOADOT-18L1</t>
  </si>
  <si>
    <t>VARIOUS STBGP</t>
  </si>
  <si>
    <t>YMPO STBGP Loan to ADOT</t>
  </si>
  <si>
    <t>Transfer In</t>
  </si>
  <si>
    <t>ADOTYMPO-18T1</t>
  </si>
  <si>
    <t>ADOT HURF EX Transfer to YMPO</t>
  </si>
  <si>
    <t>ADOTYMPO-18T2</t>
  </si>
  <si>
    <t>YMPO STP Flex Transfer to ADOT</t>
  </si>
  <si>
    <t>YMPO STP 5-200 Transfer to ADOT</t>
  </si>
  <si>
    <t>YMPOADOT-18L2</t>
  </si>
  <si>
    <t>FV BALANCES</t>
  </si>
  <si>
    <t>YMPOADOT-19L1</t>
  </si>
  <si>
    <t>2020</t>
  </si>
  <si>
    <t>FY20</t>
  </si>
  <si>
    <t>TBD</t>
  </si>
  <si>
    <t>T017901C</t>
  </si>
  <si>
    <t>YMPOADOT-20L1</t>
  </si>
  <si>
    <t>2021</t>
  </si>
  <si>
    <t>Future STBGP</t>
  </si>
  <si>
    <t>ADOTYMPO-20T1</t>
  </si>
  <si>
    <t>YMPOADOT-21L1</t>
  </si>
  <si>
    <t>2022</t>
  </si>
  <si>
    <t>T033201C</t>
  </si>
  <si>
    <t>Statutory</t>
  </si>
  <si>
    <t>Disc</t>
  </si>
  <si>
    <t>YMPO OA</t>
  </si>
  <si>
    <t>check</t>
  </si>
  <si>
    <t>OA Ratio (OA/apportionments) /1</t>
  </si>
  <si>
    <t>Fund Type</t>
  </si>
  <si>
    <t xml:space="preserve">Program Category </t>
  </si>
  <si>
    <t>Formula</t>
  </si>
  <si>
    <t xml:space="preserve">SPR (Planning) </t>
  </si>
  <si>
    <t xml:space="preserve">Metropolitan Planning </t>
  </si>
  <si>
    <t>Total Formula Apportionments</t>
  </si>
  <si>
    <t>Total Formula OA (@94.9%)</t>
  </si>
  <si>
    <t>rounding</t>
  </si>
  <si>
    <t>ADOTYMPO-22T1</t>
  </si>
  <si>
    <t>YMPO STP 5-2 Transfer to ADOT</t>
  </si>
  <si>
    <t>YMPO Change</t>
  </si>
  <si>
    <t>HSIP is now managed as a competitive program by ADOT.   However,  HSIP funding released off of  projects that were funded from the ledger will be released back onto the ledger.</t>
  </si>
  <si>
    <t>YMPO FFY22</t>
  </si>
  <si>
    <t>T036001C</t>
  </si>
  <si>
    <t>YMPOADOT-22L1</t>
  </si>
  <si>
    <t>2023</t>
  </si>
  <si>
    <t>PL-SATO</t>
  </si>
  <si>
    <t>STP 5-50</t>
  </si>
  <si>
    <t>STP 50-200</t>
  </si>
  <si>
    <t>CRP 50-200</t>
  </si>
  <si>
    <t>PLAN SATO</t>
  </si>
  <si>
    <t>DECLINING BALANCE OF OA</t>
  </si>
  <si>
    <t>STP Other</t>
  </si>
  <si>
    <t>STP 5K - 50K</t>
  </si>
  <si>
    <t>STP 50K - 200K</t>
  </si>
  <si>
    <t>STP &lt; 5K</t>
  </si>
  <si>
    <t>CRP 50K - 200K</t>
  </si>
  <si>
    <t>STP 5K - 200K</t>
  </si>
  <si>
    <t>Total Expected</t>
  </si>
  <si>
    <t>YMPO CRP Loan to ADOT</t>
  </si>
  <si>
    <t>Loan STBG for use of future projects</t>
  </si>
  <si>
    <t>Loan CRP for use of future projects</t>
  </si>
  <si>
    <t>ADOTYMPO-22T2</t>
  </si>
  <si>
    <t>YMPO STP 5-50 Transfer to ADOT</t>
  </si>
  <si>
    <t>YMPO FFY23</t>
  </si>
  <si>
    <t>ADOT HURF EX Transfer to YPMO</t>
  </si>
  <si>
    <t>N/A</t>
  </si>
  <si>
    <t>YMPOADOT-23L1</t>
  </si>
  <si>
    <t>2024</t>
  </si>
  <si>
    <t>LTAP; City of Yuma Project</t>
  </si>
  <si>
    <t>YMPO Loan to ADOT</t>
  </si>
  <si>
    <t>UPWP Study and To Be Programmed</t>
  </si>
  <si>
    <t>Please direct questions regarding federal funding ledgers to ADOT Financial Management Services at</t>
  </si>
  <si>
    <t xml:space="preserve"> resourceadmin@azdot.gov.</t>
  </si>
  <si>
    <t>All OA and apportionments are subject to lapse annually on June 30th.</t>
  </si>
  <si>
    <t>2025</t>
  </si>
  <si>
    <t>SVMPOYMPO-25L1</t>
  </si>
  <si>
    <t>SVMPO</t>
  </si>
  <si>
    <t>2026</t>
  </si>
  <si>
    <t>Loan for FFY25 Projects</t>
  </si>
  <si>
    <t>SVMPO STP 50-200K Loan to YMPO</t>
  </si>
  <si>
    <t>YMPOSEAGO-24L1</t>
  </si>
  <si>
    <t>SEAGO Pavement Assessment Project</t>
  </si>
  <si>
    <t>YMPO STP &lt;5K Loan to SEAGO</t>
  </si>
  <si>
    <t>YMPOADOT-24L1</t>
  </si>
  <si>
    <t>YU-24-02, YU-24-03</t>
  </si>
  <si>
    <t>YMPO CRP 50-200K Loan to ADOT</t>
  </si>
  <si>
    <t>YMPO FFY24</t>
  </si>
  <si>
    <t>PYM2601P</t>
  </si>
  <si>
    <t>YMPO FY 2026/FY 2027 WP - SPR</t>
  </si>
  <si>
    <t>026</t>
  </si>
  <si>
    <t>PYM26S2P</t>
  </si>
  <si>
    <t>YMPO FY 2026/FY 2027 WP - PL-SATO</t>
  </si>
  <si>
    <t>YMPOADOT-24T1</t>
  </si>
  <si>
    <t>T059401C</t>
  </si>
  <si>
    <t>YMPOADOT-24T2</t>
  </si>
  <si>
    <t>T055101C</t>
  </si>
  <si>
    <t>YMPO STP 50-200K Transfer to ADOT</t>
  </si>
  <si>
    <t>YMPO STP Transfer to ADOT</t>
  </si>
  <si>
    <t xml:space="preserve">1/. Any HSIP apportionments that become available on the ledger as a result of a project close out or other reasons, are eligible to be exchanged for STBG apportionments. </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</si>
  <si>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</si>
  <si>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</si>
  <si>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FOOTNOTES</t>
  </si>
  <si>
    <t>YMPO FFY25</t>
  </si>
  <si>
    <t>ADOT-LOCAL PROJECTS</t>
  </si>
  <si>
    <t>PYM2602P</t>
  </si>
  <si>
    <t>YMPO FY 2026/FY 2027 WP - PL</t>
  </si>
  <si>
    <t>T054201C</t>
  </si>
  <si>
    <t>YU24-02C</t>
  </si>
  <si>
    <t>Avenue A at 16th Street Intersection</t>
  </si>
  <si>
    <t>YUM</t>
  </si>
  <si>
    <t>230</t>
  </si>
  <si>
    <t>T054501C</t>
  </si>
  <si>
    <t>YU24-03C / ADOT#104182</t>
  </si>
  <si>
    <t>(SUP) East Wetland Park to Pacific Ave</t>
  </si>
  <si>
    <t>229</t>
  </si>
  <si>
    <t>Federal Fiscal Year 2026</t>
  </si>
  <si>
    <t>WELLTON</t>
  </si>
  <si>
    <t>Williams St: Oakland Ave to Los Angeles Ave (1/2 mile)</t>
  </si>
  <si>
    <t>WIL</t>
  </si>
  <si>
    <t>HFX</t>
  </si>
  <si>
    <t>YMPOADOT-25L1</t>
  </si>
  <si>
    <t>CRP Projects Moved to FY26</t>
  </si>
  <si>
    <t>YMPOADOT-25L2</t>
  </si>
  <si>
    <t>STBG Funds</t>
  </si>
  <si>
    <t>YMPO STP 5-50K Loan to ADOT</t>
  </si>
  <si>
    <t>YMPOADOT-25T1</t>
  </si>
  <si>
    <t>T069701C - HFX</t>
  </si>
  <si>
    <t>ADOT HFX Transfer to YMPO</t>
  </si>
  <si>
    <t>YMPO STP &lt;5K Transfer to ADOT</t>
  </si>
  <si>
    <t>YMPO STP 5-50K Transfer to ADOT</t>
  </si>
  <si>
    <t>RLTAP31P</t>
  </si>
  <si>
    <t>VARIOUS</t>
  </si>
  <si>
    <t>LOCAL LEDGERS</t>
  </si>
  <si>
    <t>LTAP - FFY26</t>
  </si>
  <si>
    <t>999</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</si>
  <si>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</si>
  <si>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</si>
  <si>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</si>
  <si>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</si>
  <si>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</si>
  <si>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Carry Forward to FFY 27</t>
  </si>
  <si>
    <t>Planned Lapsing - 06/30/26</t>
  </si>
  <si>
    <t>Lapsed - 07/01/26</t>
  </si>
  <si>
    <t>Planned Lapsing - 09/30/26</t>
  </si>
  <si>
    <t>YMPO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</si>
  <si>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</si>
  <si>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PYM2401P</t>
  </si>
  <si>
    <t>YMPO FY 2024/FY 2025 WP - SPR</t>
  </si>
  <si>
    <t>024</t>
  </si>
  <si>
    <t xml:space="preserve">Federal Aid Transaction Ledger
</t>
  </si>
  <si>
    <t>The FFY 26 OA limitation ratio for the State is 87.4%.  The rate for calculations in FY 2026 for the ledgers is 0.949.  This rate is subject to change in future fiscal years.</t>
  </si>
  <si>
    <t>1/. This ledger does not track Transit funding. Transit Consolidated Planning Grant (CPG) funding will be added as a footnote here upon receipt of FFY26 allocations.</t>
  </si>
  <si>
    <t>T072601C</t>
  </si>
  <si>
    <t>ADOT# 102685</t>
  </si>
  <si>
    <t xml:space="preserve">YUMA COUNTY                   </t>
  </si>
  <si>
    <t>PYM2402P</t>
  </si>
  <si>
    <t>YMPO FY 2024/FY 2025 WP - PL</t>
  </si>
  <si>
    <t>T052201C</t>
  </si>
  <si>
    <t>ADOT# 104183 / YC-24-06C</t>
  </si>
  <si>
    <t>Pathway Ave B to Ave C West Main Canal</t>
  </si>
  <si>
    <t>YYU</t>
  </si>
  <si>
    <t>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</si>
</sst>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mm/dd/yy;@"/>
    <numFmt numFmtId="165" formatCode="#,##0.000_);[Red]\(#,##0.000\)"/>
    <numFmt numFmtId="166" formatCode="mm/dd/yyyy"/>
  </numFmts>
  <fonts count="55">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9"/>
      <name val="Arial Unicode MS"/>
      <family val="2"/>
    </font>
    <font>
      <sz val="11"/>
      <color theme="1"/>
      <name val="Calibri"/>
      <family val="2"/>
      <scheme val="minor"/>
    </font>
    <font>
      <sz val="10"/>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b/>
      <u/>
      <sz val="12"/>
      <name val="Arial Unicode MS"/>
      <family val="2"/>
    </font>
    <font>
      <sz val="11"/>
      <color theme="1"/>
      <name val="Calibri"/>
      <family val="2"/>
      <scheme val="minor"/>
    </font>
    <font>
      <strike/>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11">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ABF8F"/>
        <bgColor indexed="64"/>
      </patternFill>
    </fill>
    <fill>
      <patternFill patternType="solid">
        <fgColor rgb="FFFABF8F"/>
        <bgColor theme="8"/>
      </patternFill>
    </fill>
    <fill>
      <patternFill patternType="solid">
        <fgColor theme="9"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38" fillId="0" borderId="0"/>
    <xf numFmtId="0" fontId="38" fillId="0" borderId="0"/>
    <xf numFmtId="0" fontId="39" fillId="0" borderId="0"/>
    <xf numFmtId="0" fontId="40" fillId="0" borderId="0"/>
    <xf numFmtId="43" fontId="4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0" fontId="41" fillId="0" borderId="0"/>
    <xf numFmtId="0" fontId="38" fillId="0" borderId="0"/>
    <xf numFmtId="0" fontId="41" fillId="0" borderId="0"/>
    <xf numFmtId="0" fontId="38"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38" fillId="0" borderId="0"/>
    <xf numFmtId="0" fontId="41" fillId="0" borderId="0"/>
    <xf numFmtId="0" fontId="38" fillId="0" borderId="0"/>
    <xf numFmtId="0" fontId="41" fillId="0" borderId="0"/>
    <xf numFmtId="0" fontId="41" fillId="0" borderId="0"/>
    <xf numFmtId="0" fontId="38" fillId="0" borderId="0"/>
    <xf numFmtId="0" fontId="41" fillId="0" borderId="0"/>
    <xf numFmtId="9" fontId="1" fillId="0" borderId="0" applyFont="0" applyFill="0" applyBorder="0" applyAlignment="0" applyProtection="0"/>
    <xf numFmtId="9" fontId="38" fillId="0" borderId="0" applyFont="0" applyFill="0" applyBorder="0" applyAlignment="0" applyProtection="0"/>
    <xf numFmtId="0" fontId="38" fillId="0" borderId="0"/>
  </cellStyleXfs>
  <cellXfs count="243">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0" fontId="24" fillId="0" borderId="0" xfId="0" applyNumberFormat="1" applyFont="1" applyAlignment="1">
      <alignment horizontal="left" vertical="top" wrapText="1"/>
    </xf>
    <xf numFmtId="40" fontId="17" fillId="0" borderId="0" xfId="0" applyNumberFormat="1" applyFont="1" applyAlignment="1">
      <alignment horizontal="center" vertical="center" wrapText="1"/>
    </xf>
    <xf numFmtId="40" fontId="23" fillId="0" borderId="1" xfId="0" applyNumberFormat="1" applyFont="1" applyBorder="1" applyAlignment="1">
      <alignment horizontal="right" vertical="top" wrapText="1"/>
    </xf>
    <xf numFmtId="43" fontId="11" fillId="0" borderId="0" xfId="3" applyFont="1" applyAlignment="1">
      <alignment vertical="top" wrapText="1"/>
    </xf>
    <xf numFmtId="43" fontId="27" fillId="0" borderId="0" xfId="3" applyFont="1"/>
    <xf numFmtId="43" fontId="27" fillId="0" borderId="9" xfId="3" applyFont="1" applyBorder="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0" xfId="0" applyNumberFormat="1" applyFont="1" applyAlignment="1">
      <alignment vertical="top"/>
    </xf>
    <xf numFmtId="40" fontId="17" fillId="0" borderId="1" xfId="0" applyNumberFormat="1" applyFont="1" applyBorder="1" applyAlignment="1">
      <alignment vertical="top"/>
    </xf>
    <xf numFmtId="40" fontId="23" fillId="0" borderId="0" xfId="0" applyNumberFormat="1" applyFont="1" applyAlignment="1">
      <alignment vertical="top" wrapText="1"/>
    </xf>
    <xf numFmtId="40" fontId="16" fillId="5" borderId="6" xfId="0" applyNumberFormat="1" applyFont="1" applyFill="1" applyBorder="1" applyAlignment="1">
      <alignment horizontal="center" vertical="center" wrapText="1"/>
    </xf>
    <xf numFmtId="14" fontId="23" fillId="2" borderId="6" xfId="0" applyNumberFormat="1" applyFont="1" applyFill="1" applyBorder="1" applyAlignment="1">
      <alignment horizontal="center" vertical="center" wrapText="1"/>
    </xf>
    <xf numFmtId="43" fontId="28" fillId="0" borderId="0" xfId="3" applyFont="1"/>
    <xf numFmtId="43" fontId="28" fillId="0" borderId="10" xfId="3" applyFont="1" applyBorder="1"/>
    <xf numFmtId="43" fontId="28" fillId="0" borderId="13" xfId="3" applyFont="1" applyBorder="1"/>
    <xf numFmtId="43" fontId="28" fillId="0" borderId="6" xfId="3" applyFont="1" applyBorder="1"/>
    <xf numFmtId="43" fontId="28" fillId="0" borderId="14" xfId="3" applyFont="1" applyBorder="1"/>
    <xf numFmtId="43" fontId="29" fillId="0" borderId="0" xfId="3" applyFont="1"/>
    <xf numFmtId="43" fontId="29" fillId="0" borderId="10" xfId="3" applyFont="1" applyBorder="1"/>
    <xf numFmtId="43" fontId="29" fillId="0" borderId="6" xfId="3" applyFont="1" applyBorder="1"/>
    <xf numFmtId="43" fontId="29" fillId="0" borderId="13" xfId="3" applyFont="1" applyBorder="1"/>
    <xf numFmtId="43" fontId="29" fillId="0" borderId="14" xfId="3" applyFont="1" applyBorder="1"/>
    <xf numFmtId="43" fontId="0" fillId="0" borderId="10" xfId="3" applyFont="1" applyBorder="1"/>
    <xf numFmtId="43" fontId="0" fillId="0" borderId="13" xfId="3" applyFont="1" applyBorder="1"/>
    <xf numFmtId="43" fontId="0" fillId="0" borderId="6" xfId="3" applyFont="1" applyBorder="1"/>
    <xf numFmtId="43" fontId="0" fillId="0" borderId="14" xfId="3" applyFont="1" applyBorder="1"/>
    <xf numFmtId="43" fontId="30" fillId="0" borderId="0" xfId="3" applyFont="1"/>
    <xf numFmtId="164" fontId="24" fillId="0" borderId="0" xfId="0" applyNumberFormat="1" applyFont="1" applyAlignment="1">
      <alignment horizontal="center" vertical="top" wrapText="1"/>
    </xf>
    <xf numFmtId="14" fontId="17" fillId="0" borderId="0" xfId="0" applyNumberFormat="1" applyFont="1" applyAlignment="1">
      <alignment horizontal="center" vertical="center" wrapText="1"/>
    </xf>
    <xf numFmtId="0" fontId="17" fillId="0" borderId="0" xfId="0" applyFont="1" applyAlignment="1">
      <alignment horizontal="center" vertical="top" wrapText="1"/>
    </xf>
    <xf numFmtId="40" fontId="24" fillId="0" borderId="0" xfId="0" applyNumberFormat="1" applyFont="1" applyAlignment="1">
      <alignment horizontal="center" vertical="top" wrapText="1"/>
    </xf>
    <xf numFmtId="43" fontId="27" fillId="0" borderId="0" xfId="3" applyFont="1" applyBorder="1"/>
    <xf numFmtId="43" fontId="28" fillId="0" borderId="0" xfId="3" applyFont="1" applyBorder="1"/>
    <xf numFmtId="43" fontId="29" fillId="0" borderId="0" xfId="3" applyFont="1" applyBorder="1"/>
    <xf numFmtId="43" fontId="31" fillId="0" borderId="0" xfId="3" applyFont="1" applyBorder="1"/>
    <xf numFmtId="43" fontId="31" fillId="0" borderId="0" xfId="3" applyFont="1"/>
    <xf numFmtId="164" fontId="24" fillId="0" borderId="0" xfId="0" applyNumberFormat="1" applyFont="1" applyAlignment="1">
      <alignment horizontal="center" vertical="top"/>
    </xf>
    <xf numFmtId="40" fontId="24" fillId="0" borderId="0" xfId="0" applyNumberFormat="1" applyFont="1" applyAlignment="1">
      <alignment vertical="top"/>
    </xf>
    <xf numFmtId="40" fontId="17" fillId="0" borderId="5" xfId="0" applyNumberFormat="1" applyFont="1" applyBorder="1" applyAlignment="1">
      <alignment vertical="top"/>
    </xf>
    <xf numFmtId="40" fontId="17" fillId="4" borderId="1" xfId="0" applyNumberFormat="1" applyFont="1" applyFill="1" applyBorder="1" applyAlignment="1">
      <alignment vertical="top"/>
    </xf>
    <xf numFmtId="43" fontId="32" fillId="0" borderId="0" xfId="3" applyFont="1"/>
    <xf numFmtId="43" fontId="33" fillId="0" borderId="0" xfId="3" applyFont="1"/>
    <xf numFmtId="0" fontId="17" fillId="0" borderId="0" xfId="0" applyFont="1" applyAlignment="1">
      <alignment vertical="top"/>
    </xf>
    <xf numFmtId="38" fontId="35" fillId="6" borderId="3" xfId="3" applyNumberFormat="1" applyFont="1" applyFill="1" applyBorder="1" applyAlignment="1">
      <alignment horizontal="center" vertical="center"/>
    </xf>
    <xf numFmtId="38" fontId="35" fillId="6" borderId="1" xfId="3" applyNumberFormat="1" applyFont="1" applyFill="1" applyBorder="1" applyAlignment="1">
      <alignment horizontal="center" vertical="center"/>
    </xf>
    <xf numFmtId="38" fontId="35" fillId="6" borderId="4" xfId="3" applyNumberFormat="1" applyFont="1" applyFill="1" applyBorder="1" applyAlignment="1">
      <alignment horizontal="center" vertical="center"/>
    </xf>
    <xf numFmtId="38" fontId="35" fillId="0" borderId="3" xfId="0" applyNumberFormat="1" applyFont="1" applyBorder="1" applyAlignment="1">
      <alignment vertical="top"/>
    </xf>
    <xf numFmtId="38" fontId="35" fillId="0" borderId="1" xfId="0" applyNumberFormat="1" applyFont="1" applyBorder="1" applyAlignment="1">
      <alignment vertical="top"/>
    </xf>
    <xf numFmtId="38" fontId="35" fillId="0" borderId="4" xfId="0" applyNumberFormat="1" applyFont="1" applyBorder="1" applyAlignment="1">
      <alignment vertical="top"/>
    </xf>
    <xf numFmtId="38" fontId="35" fillId="0" borderId="20" xfId="0" applyNumberFormat="1" applyFont="1" applyBorder="1" applyAlignment="1">
      <alignment vertical="top"/>
    </xf>
    <xf numFmtId="165" fontId="0" fillId="0" borderId="0" xfId="0" applyNumberFormat="1"/>
    <xf numFmtId="14"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21" xfId="0" applyNumberFormat="1" applyFont="1" applyFill="1" applyBorder="1" applyAlignment="1">
      <alignment horizontal="right" vertical="top" wrapText="1"/>
    </xf>
    <xf numFmtId="40" fontId="17" fillId="4" borderId="7" xfId="0" applyNumberFormat="1" applyFont="1" applyFill="1" applyBorder="1" applyAlignment="1">
      <alignment horizontal="right" vertical="top" wrapText="1"/>
    </xf>
    <xf numFmtId="14" fontId="17" fillId="0" borderId="7" xfId="0" applyNumberFormat="1" applyFont="1" applyBorder="1" applyAlignment="1">
      <alignment horizontal="left" vertical="top" wrapText="1"/>
    </xf>
    <xf numFmtId="40" fontId="17" fillId="0" borderId="21" xfId="0" applyNumberFormat="1" applyFont="1" applyBorder="1" applyAlignment="1">
      <alignment horizontal="right" vertical="top" wrapText="1"/>
    </xf>
    <xf numFmtId="40" fontId="17" fillId="0" borderId="7" xfId="0" applyNumberFormat="1" applyFont="1" applyBorder="1" applyAlignment="1">
      <alignment horizontal="right" vertical="top" wrapText="1"/>
    </xf>
    <xf numFmtId="40" fontId="17" fillId="2" borderId="7" xfId="0" applyNumberFormat="1" applyFont="1" applyFill="1" applyBorder="1" applyAlignment="1">
      <alignment horizontal="right" vertical="top" wrapText="1"/>
    </xf>
    <xf numFmtId="40" fontId="17" fillId="4" borderId="21" xfId="0" applyNumberFormat="1" applyFont="1" applyFill="1" applyBorder="1" applyAlignment="1">
      <alignment vertical="top" wrapText="1"/>
    </xf>
    <xf numFmtId="40" fontId="17" fillId="4" borderId="7" xfId="0" applyNumberFormat="1" applyFont="1" applyFill="1" applyBorder="1" applyAlignment="1">
      <alignment vertical="top" wrapText="1"/>
    </xf>
    <xf numFmtId="40" fontId="17" fillId="0" borderId="21" xfId="0" applyNumberFormat="1" applyFont="1" applyBorder="1" applyAlignment="1">
      <alignment vertical="top" wrapText="1"/>
    </xf>
    <xf numFmtId="40" fontId="17" fillId="0" borderId="7" xfId="0" applyNumberFormat="1" applyFont="1" applyBorder="1" applyAlignment="1">
      <alignment vertical="top" wrapText="1"/>
    </xf>
    <xf numFmtId="14" fontId="23" fillId="4" borderId="2" xfId="0" applyNumberFormat="1" applyFont="1" applyFill="1" applyBorder="1" applyAlignment="1">
      <alignment horizontal="left" vertical="top" wrapText="1"/>
    </xf>
    <xf numFmtId="40" fontId="23" fillId="4" borderId="22" xfId="0" applyNumberFormat="1" applyFont="1" applyFill="1" applyBorder="1" applyAlignment="1">
      <alignment horizontal="right" vertical="top" wrapText="1"/>
    </xf>
    <xf numFmtId="40" fontId="23" fillId="4" borderId="2" xfId="0" applyNumberFormat="1" applyFont="1" applyFill="1" applyBorder="1" applyAlignment="1">
      <alignment horizontal="right" vertical="top" wrapText="1"/>
    </xf>
    <xf numFmtId="38" fontId="35" fillId="0" borderId="12" xfId="0" applyNumberFormat="1" applyFont="1" applyBorder="1" applyAlignment="1">
      <alignment horizontal="center" vertical="center" wrapText="1"/>
    </xf>
    <xf numFmtId="38" fontId="35" fillId="7" borderId="25" xfId="0" applyNumberFormat="1" applyFont="1" applyFill="1" applyBorder="1" applyAlignment="1">
      <alignment horizontal="center" vertical="center" wrapText="1"/>
    </xf>
    <xf numFmtId="0" fontId="35" fillId="0" borderId="1" xfId="0" applyFont="1" applyBorder="1" applyAlignment="1">
      <alignment vertical="top" wrapText="1"/>
    </xf>
    <xf numFmtId="9" fontId="0" fillId="0" borderId="0" xfId="4" applyFont="1"/>
    <xf numFmtId="40" fontId="16" fillId="0" borderId="27" xfId="1" applyNumberFormat="1" applyFont="1" applyBorder="1" applyAlignment="1">
      <alignment horizontal="center" vertical="center" wrapText="1"/>
    </xf>
    <xf numFmtId="40" fontId="17" fillId="0" borderId="27" xfId="0" applyNumberFormat="1" applyFont="1" applyBorder="1" applyAlignment="1">
      <alignment horizontal="right" vertical="top" wrapText="1"/>
    </xf>
    <xf numFmtId="40" fontId="17" fillId="4" borderId="27" xfId="0" applyNumberFormat="1" applyFont="1" applyFill="1" applyBorder="1" applyAlignment="1">
      <alignment vertical="top" wrapText="1"/>
    </xf>
    <xf numFmtId="40" fontId="17" fillId="0" borderId="27" xfId="0" applyNumberFormat="1" applyFont="1" applyBorder="1" applyAlignment="1">
      <alignment vertical="top" wrapText="1"/>
    </xf>
    <xf numFmtId="40" fontId="23" fillId="4" borderId="3" xfId="0" applyNumberFormat="1" applyFont="1" applyFill="1" applyBorder="1" applyAlignment="1">
      <alignment horizontal="right" vertical="top" wrapText="1"/>
    </xf>
    <xf numFmtId="40" fontId="36" fillId="0" borderId="0" xfId="0" applyNumberFormat="1" applyFont="1" applyAlignment="1">
      <alignment vertical="top"/>
    </xf>
    <xf numFmtId="43" fontId="37" fillId="0" borderId="0" xfId="3" applyFont="1"/>
    <xf numFmtId="38" fontId="0" fillId="0" borderId="0" xfId="0" applyNumberFormat="1"/>
    <xf numFmtId="0" fontId="17" fillId="8" borderId="0" xfId="0" applyFont="1" applyFill="1" applyAlignment="1">
      <alignment vertical="top" wrapText="1"/>
    </xf>
    <xf numFmtId="38" fontId="35" fillId="0" borderId="4" xfId="0" applyNumberFormat="1" applyFont="1" applyBorder="1" applyAlignment="1">
      <alignment horizontal="right" vertical="top"/>
    </xf>
    <xf numFmtId="38" fontId="34" fillId="0" borderId="2" xfId="0" applyNumberFormat="1" applyFont="1" applyBorder="1" applyAlignment="1">
      <alignment horizontal="right" vertical="top" wrapText="1"/>
    </xf>
    <xf numFmtId="38" fontId="35" fillId="0" borderId="3" xfId="0" applyNumberFormat="1" applyFont="1" applyBorder="1" applyAlignment="1">
      <alignment horizontal="right" vertical="top"/>
    </xf>
    <xf numFmtId="38" fontId="35" fillId="0" borderId="29" xfId="0" applyNumberFormat="1" applyFont="1" applyBorder="1" applyAlignment="1">
      <alignment vertical="top"/>
    </xf>
    <xf numFmtId="38" fontId="34" fillId="0" borderId="20" xfId="0" applyNumberFormat="1" applyFont="1" applyBorder="1" applyAlignment="1">
      <alignment horizontal="right" vertical="center"/>
    </xf>
    <xf numFmtId="38" fontId="34" fillId="0" borderId="30" xfId="0" applyNumberFormat="1" applyFont="1" applyBorder="1" applyAlignment="1">
      <alignment horizontal="right" vertical="center"/>
    </xf>
    <xf numFmtId="40" fontId="42" fillId="0" borderId="0" xfId="0" applyNumberFormat="1" applyFont="1" applyAlignment="1">
      <alignment horizontal="center"/>
    </xf>
    <xf numFmtId="166" fontId="42" fillId="0" borderId="0" xfId="0" applyNumberFormat="1" applyFont="1" applyAlignment="1">
      <alignment horizontal="center" vertical="center"/>
    </xf>
    <xf numFmtId="43" fontId="43" fillId="0" borderId="0" xfId="3" applyFont="1" applyBorder="1"/>
    <xf numFmtId="43" fontId="43" fillId="0" borderId="0" xfId="3" applyFont="1"/>
    <xf numFmtId="40" fontId="42" fillId="0" borderId="0" xfId="0" applyNumberFormat="1" applyFont="1" applyAlignment="1">
      <alignment vertical="top" wrapText="1"/>
    </xf>
    <xf numFmtId="40" fontId="42" fillId="0" borderId="0" xfId="0" applyNumberFormat="1" applyFont="1" applyAlignment="1">
      <alignment horizontal="center" vertical="center" wrapText="1"/>
    </xf>
    <xf numFmtId="164" fontId="42" fillId="0" borderId="0" xfId="0" applyNumberFormat="1" applyFont="1" applyAlignment="1">
      <alignment vertical="top" wrapText="1"/>
    </xf>
    <xf numFmtId="14" fontId="13" fillId="0" borderId="0" xfId="0" applyNumberFormat="1" applyFont="1" applyAlignment="1">
      <alignment vertical="top" wrapText="1"/>
    </xf>
    <xf numFmtId="14" fontId="16" fillId="0" borderId="28" xfId="1" applyNumberFormat="1" applyFont="1" applyBorder="1" applyAlignment="1">
      <alignment horizontal="center" vertical="center" wrapText="1"/>
    </xf>
    <xf numFmtId="40" fontId="16" fillId="0" borderId="26" xfId="1" applyNumberFormat="1" applyFont="1" applyBorder="1" applyAlignment="1">
      <alignment horizontal="center" vertical="center" wrapText="1"/>
    </xf>
    <xf numFmtId="166" fontId="17" fillId="0" borderId="0" xfId="0" applyNumberFormat="1" applyFont="1" applyAlignment="1">
      <alignment horizontal="center" vertical="center" wrapText="1"/>
    </xf>
    <xf numFmtId="40" fontId="17" fillId="0" borderId="0" xfId="0" applyNumberFormat="1" applyFont="1" applyAlignment="1">
      <alignment horizontal="right"/>
    </xf>
    <xf numFmtId="40" fontId="20" fillId="0" borderId="11" xfId="0" applyNumberFormat="1" applyFont="1" applyBorder="1" applyAlignment="1">
      <alignment vertical="top" wrapText="1"/>
    </xf>
    <xf numFmtId="14" fontId="23" fillId="0" borderId="1" xfId="0" applyNumberFormat="1" applyFont="1" applyBorder="1" applyAlignment="1">
      <alignment horizontal="right" vertical="top" wrapText="1"/>
    </xf>
    <xf numFmtId="0" fontId="11" fillId="0" borderId="0" xfId="0" applyFont="1" applyAlignment="1">
      <alignment vertical="top"/>
    </xf>
    <xf numFmtId="0" fontId="35" fillId="0" borderId="2" xfId="0" applyFont="1" applyBorder="1" applyAlignment="1">
      <alignment vertical="top" wrapText="1"/>
    </xf>
    <xf numFmtId="38" fontId="35" fillId="0" borderId="9" xfId="0" applyNumberFormat="1" applyFont="1" applyBorder="1" applyAlignment="1">
      <alignment vertical="top"/>
    </xf>
    <xf numFmtId="40" fontId="17" fillId="0" borderId="0" xfId="3" applyNumberFormat="1" applyFont="1" applyAlignment="1">
      <alignment vertical="top" wrapText="1"/>
    </xf>
    <xf numFmtId="40" fontId="36" fillId="0" borderId="1" xfId="0" applyNumberFormat="1" applyFont="1" applyBorder="1" applyAlignment="1">
      <alignment vertical="top"/>
    </xf>
    <xf numFmtId="40" fontId="17" fillId="4" borderId="1" xfId="0" applyNumberFormat="1" applyFont="1" applyFill="1" applyBorder="1" applyAlignment="1">
      <alignment vertical="top" wrapText="1"/>
    </xf>
    <xf numFmtId="40" fontId="17" fillId="4" borderId="34" xfId="0" applyNumberFormat="1" applyFont="1" applyFill="1" applyBorder="1" applyAlignment="1">
      <alignment vertical="top" wrapText="1"/>
    </xf>
    <xf numFmtId="40" fontId="17" fillId="4" borderId="3" xfId="0" applyNumberFormat="1" applyFont="1" applyFill="1" applyBorder="1" applyAlignment="1">
      <alignment vertical="top" wrapText="1"/>
    </xf>
    <xf numFmtId="43" fontId="44" fillId="0" borderId="0" xfId="3" applyFont="1"/>
    <xf numFmtId="40" fontId="17" fillId="4" borderId="27" xfId="0" applyNumberFormat="1" applyFont="1" applyFill="1" applyBorder="1" applyAlignment="1">
      <alignment horizontal="right" vertical="top" wrapText="1"/>
    </xf>
    <xf numFmtId="40" fontId="17" fillId="0" borderId="0" xfId="0" applyNumberFormat="1" applyFont="1" applyAlignment="1">
      <alignment horizontal="center"/>
    </xf>
    <xf numFmtId="40" fontId="20" fillId="0" borderId="26" xfId="0" applyNumberFormat="1" applyFont="1" applyBorder="1" applyAlignment="1">
      <alignment vertical="top" wrapText="1"/>
    </xf>
    <xf numFmtId="40" fontId="20" fillId="0" borderId="0" xfId="0" applyNumberFormat="1" applyFont="1" applyAlignment="1">
      <alignment vertical="top" wrapText="1"/>
    </xf>
    <xf numFmtId="8" fontId="11" fillId="0" borderId="0" xfId="0" applyNumberFormat="1" applyFont="1" applyAlignment="1">
      <alignment vertical="top" wrapText="1"/>
    </xf>
    <xf numFmtId="0" fontId="17" fillId="0" borderId="0" xfId="0" applyFont="1" applyAlignment="1">
      <alignment horizontal="right" vertical="top" wrapText="1"/>
    </xf>
    <xf numFmtId="0" fontId="17" fillId="0" borderId="0" xfId="0" applyFont="1" applyAlignment="1">
      <alignment horizontal="left" vertical="top"/>
    </xf>
    <xf numFmtId="43" fontId="45" fillId="0" borderId="0" xfId="3" applyFont="1"/>
    <xf numFmtId="38" fontId="35" fillId="9" borderId="1" xfId="0" applyNumberFormat="1" applyFont="1" applyFill="1" applyBorder="1" applyAlignment="1">
      <alignment vertical="top"/>
    </xf>
    <xf numFmtId="38" fontId="35" fillId="10" borderId="3" xfId="0" applyNumberFormat="1" applyFont="1" applyFill="1" applyBorder="1" applyAlignment="1">
      <alignment vertical="top"/>
    </xf>
    <xf numFmtId="0" fontId="46" fillId="0" borderId="0" xfId="0" applyFont="1" applyAlignment="1">
      <alignment vertical="top"/>
    </xf>
    <xf numFmtId="0" fontId="0" fillId="0" borderId="0" xfId="0" applyAlignment="1">
      <alignment horizontal="left" vertical="top"/>
    </xf>
    <xf numFmtId="43" fontId="47" fillId="0" borderId="0" xfId="3" applyFont="1"/>
    <xf numFmtId="43" fontId="48" fillId="0" borderId="0" xfId="3" applyFont="1"/>
    <xf numFmtId="165" fontId="11" fillId="0" borderId="0" xfId="0" applyNumberFormat="1" applyFont="1" applyAlignment="1">
      <alignment vertical="top" wrapText="1"/>
    </xf>
    <xf numFmtId="2" fontId="0" fillId="0" borderId="0" xfId="0" applyNumberFormat="1"/>
    <xf numFmtId="3" fontId="0" fillId="0" borderId="0" xfId="0" applyNumberFormat="1"/>
    <xf numFmtId="38" fontId="35" fillId="7" borderId="35" xfId="0" applyNumberFormat="1" applyFont="1" applyFill="1" applyBorder="1" applyAlignment="1">
      <alignment horizontal="center" vertical="center" wrapText="1"/>
    </xf>
    <xf numFmtId="38" fontId="34" fillId="0" borderId="36" xfId="0" applyNumberFormat="1" applyFont="1" applyBorder="1" applyAlignment="1">
      <alignment horizontal="right" vertical="center"/>
    </xf>
    <xf numFmtId="38" fontId="35" fillId="0" borderId="15" xfId="0" applyNumberFormat="1" applyFont="1" applyBorder="1" applyAlignment="1">
      <alignment horizontal="center" vertical="center" wrapText="1"/>
    </xf>
    <xf numFmtId="38" fontId="35" fillId="0" borderId="22" xfId="0" applyNumberFormat="1" applyFont="1" applyBorder="1" applyAlignment="1">
      <alignment vertical="top"/>
    </xf>
    <xf numFmtId="38" fontId="35" fillId="0" borderId="18" xfId="0" applyNumberFormat="1" applyFont="1" applyBorder="1" applyAlignment="1">
      <alignment vertical="top"/>
    </xf>
    <xf numFmtId="38" fontId="35" fillId="0" borderId="42" xfId="0" applyNumberFormat="1" applyFont="1" applyBorder="1" applyAlignment="1">
      <alignment vertical="top"/>
    </xf>
    <xf numFmtId="38" fontId="35" fillId="0" borderId="1" xfId="0" applyNumberFormat="1" applyFont="1" applyBorder="1" applyAlignment="1">
      <alignment horizontal="right" vertical="top"/>
    </xf>
    <xf numFmtId="38" fontId="35" fillId="6" borderId="12" xfId="3" applyNumberFormat="1" applyFont="1" applyFill="1" applyBorder="1" applyAlignment="1">
      <alignment horizontal="center" vertical="center"/>
    </xf>
    <xf numFmtId="38" fontId="35" fillId="6" borderId="25" xfId="3" applyNumberFormat="1" applyFont="1" applyFill="1" applyBorder="1" applyAlignment="1">
      <alignment horizontal="center" vertical="center"/>
    </xf>
    <xf numFmtId="38" fontId="35" fillId="6" borderId="43" xfId="3" applyNumberFormat="1" applyFont="1" applyFill="1" applyBorder="1" applyAlignment="1">
      <alignment horizontal="center" vertical="center"/>
    </xf>
    <xf numFmtId="38" fontId="35" fillId="7" borderId="43" xfId="0" applyNumberFormat="1" applyFont="1" applyFill="1" applyBorder="1" applyAlignment="1">
      <alignment horizontal="center" vertical="center" wrapText="1"/>
    </xf>
    <xf numFmtId="0" fontId="35" fillId="0" borderId="4" xfId="0" applyFont="1" applyBorder="1" applyAlignment="1">
      <alignment vertical="top" wrapText="1"/>
    </xf>
    <xf numFmtId="38" fontId="34" fillId="0" borderId="4" xfId="0" applyNumberFormat="1" applyFont="1" applyBorder="1" applyAlignment="1">
      <alignment horizontal="right" vertical="top" wrapText="1"/>
    </xf>
    <xf numFmtId="0" fontId="49" fillId="0" borderId="0" xfId="0" applyFont="1" applyAlignment="1">
      <alignment horizontal="left" vertical="top"/>
    </xf>
    <xf numFmtId="43" fontId="50" fillId="0" borderId="0" xfId="3" applyFont="1"/>
    <xf numFmtId="40" fontId="26" fillId="4" borderId="23" xfId="1" applyNumberFormat="1" applyFont="1" applyFill="1" applyBorder="1" applyAlignment="1">
      <alignment horizontal="center" vertical="center" wrapText="1"/>
    </xf>
    <xf numFmtId="40" fontId="26" fillId="4" borderId="32" xfId="1" applyNumberFormat="1" applyFont="1" applyFill="1" applyBorder="1" applyAlignment="1">
      <alignment horizontal="center" vertical="center" wrapText="1"/>
    </xf>
    <xf numFmtId="40" fontId="26" fillId="4" borderId="33" xfId="1" applyNumberFormat="1" applyFont="1" applyFill="1" applyBorder="1" applyAlignment="1">
      <alignment horizontal="center" vertical="center" wrapText="1"/>
    </xf>
    <xf numFmtId="40" fontId="13" fillId="0" borderId="0" xfId="0" applyNumberFormat="1" applyFont="1" applyAlignment="1">
      <alignment horizontal="center" vertical="center" wrapText="1"/>
    </xf>
    <xf numFmtId="0" fontId="25" fillId="0" borderId="0" xfId="0" applyFont="1" applyAlignment="1">
      <alignment horizontal="left" vertical="top" wrapText="1"/>
    </xf>
    <xf numFmtId="0" fontId="5" fillId="0" borderId="0" xfId="0" applyFont="1" applyAlignment="1">
      <alignment horizontal="left" vertical="top" wrapText="1"/>
    </xf>
    <xf numFmtId="14" fontId="13" fillId="0" borderId="2" xfId="0" applyNumberFormat="1" applyFont="1" applyBorder="1" applyAlignment="1">
      <alignment horizontal="center" vertical="top" wrapText="1"/>
    </xf>
    <xf numFmtId="14" fontId="13" fillId="0" borderId="31" xfId="0" applyNumberFormat="1" applyFont="1" applyBorder="1" applyAlignment="1">
      <alignment horizontal="center" vertical="top" wrapText="1"/>
    </xf>
    <xf numFmtId="14" fontId="13" fillId="0" borderId="9" xfId="0" applyNumberFormat="1" applyFont="1" applyBorder="1" applyAlignment="1">
      <alignment horizontal="center"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52" fillId="2" borderId="0" xfId="0" applyFont="1" applyFill="1" applyAlignment="1">
      <alignment horizontal="left" vertical="top" wrapText="1"/>
    </xf>
    <xf numFmtId="0" fontId="2" fillId="0" borderId="0" xfId="0" applyFont="1" applyAlignment="1">
      <alignment horizontal="left" vertical="top"/>
    </xf>
    <xf numFmtId="0" fontId="51" fillId="0" borderId="0" xfId="0" applyFont="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38" fontId="35" fillId="0" borderId="23" xfId="0" applyNumberFormat="1" applyFont="1" applyBorder="1" applyAlignment="1">
      <alignment horizontal="left" vertical="center" wrapText="1"/>
    </xf>
    <xf numFmtId="38" fontId="35" fillId="0" borderId="24" xfId="0" applyNumberFormat="1" applyFont="1" applyBorder="1" applyAlignment="1">
      <alignment horizontal="left" vertical="center" wrapText="1"/>
    </xf>
    <xf numFmtId="38" fontId="34" fillId="6" borderId="15" xfId="0" applyNumberFormat="1" applyFont="1" applyFill="1" applyBorder="1" applyAlignment="1">
      <alignment horizontal="center" vertical="center"/>
    </xf>
    <xf numFmtId="38" fontId="34" fillId="6" borderId="16" xfId="0" applyNumberFormat="1" applyFont="1" applyFill="1" applyBorder="1" applyAlignment="1">
      <alignment horizontal="center" vertical="center"/>
    </xf>
    <xf numFmtId="38" fontId="34" fillId="6" borderId="17" xfId="0" applyNumberFormat="1" applyFont="1" applyFill="1" applyBorder="1" applyAlignment="1">
      <alignment horizontal="center" vertical="center"/>
    </xf>
    <xf numFmtId="38" fontId="34" fillId="6" borderId="30" xfId="0" applyNumberFormat="1" applyFont="1" applyFill="1" applyBorder="1" applyAlignment="1">
      <alignment horizontal="center" vertical="top"/>
    </xf>
    <xf numFmtId="38" fontId="35" fillId="0" borderId="37" xfId="0" applyNumberFormat="1" applyFont="1" applyBorder="1" applyAlignment="1">
      <alignment horizontal="left" vertical="center" wrapText="1"/>
    </xf>
    <xf numFmtId="38" fontId="35" fillId="0" borderId="40" xfId="0" applyNumberFormat="1" applyFont="1" applyBorder="1" applyAlignment="1">
      <alignment horizontal="left" vertical="center" wrapText="1"/>
    </xf>
    <xf numFmtId="38" fontId="34" fillId="6" borderId="37" xfId="0" applyNumberFormat="1" applyFont="1" applyFill="1" applyBorder="1" applyAlignment="1">
      <alignment horizontal="center" vertical="center"/>
    </xf>
    <xf numFmtId="38" fontId="34" fillId="6" borderId="38" xfId="0" applyNumberFormat="1" applyFont="1" applyFill="1" applyBorder="1" applyAlignment="1">
      <alignment horizontal="center" vertical="center"/>
    </xf>
    <xf numFmtId="38" fontId="34" fillId="6" borderId="39" xfId="0" applyNumberFormat="1" applyFont="1" applyFill="1" applyBorder="1" applyAlignment="1">
      <alignment horizontal="center" vertical="center"/>
    </xf>
    <xf numFmtId="38" fontId="34" fillId="6" borderId="29" xfId="0" applyNumberFormat="1" applyFont="1" applyFill="1" applyBorder="1" applyAlignment="1">
      <alignment horizontal="center" vertical="top"/>
    </xf>
    <xf numFmtId="38" fontId="34" fillId="6" borderId="44" xfId="0" applyNumberFormat="1" applyFont="1" applyFill="1" applyBorder="1" applyAlignment="1">
      <alignment horizontal="center" vertical="top"/>
    </xf>
    <xf numFmtId="38" fontId="34" fillId="6" borderId="41" xfId="0" applyNumberFormat="1" applyFont="1" applyFill="1" applyBorder="1" applyAlignment="1">
      <alignment horizontal="center" vertical="top"/>
    </xf>
    <xf numFmtId="38" fontId="34" fillId="6" borderId="18" xfId="0" applyNumberFormat="1" applyFont="1" applyFill="1" applyBorder="1" applyAlignment="1">
      <alignment horizontal="center" vertical="top"/>
    </xf>
    <xf numFmtId="38" fontId="34" fillId="6" borderId="19" xfId="0" applyNumberFormat="1" applyFont="1" applyFill="1" applyBorder="1" applyAlignment="1">
      <alignment horizontal="center" vertical="top"/>
    </xf>
  </cellXfs>
  <cellStyles count="46">
    <cellStyle name="Comma" xfId="3" builtinId="3"/>
    <cellStyle name="Comma 2" xfId="9" xr:uid="{00000000-0005-0000-0000-000001000000}"/>
    <cellStyle name="Comma 3" xfId="10" xr:uid="{00000000-0005-0000-0000-000002000000}"/>
    <cellStyle name="Currency" xfId="1" builtinId="4"/>
    <cellStyle name="Currency 2" xfId="11" xr:uid="{00000000-0005-0000-0000-000004000000}"/>
    <cellStyle name="Currency 3" xfId="12" xr:uid="{00000000-0005-0000-0000-000005000000}"/>
    <cellStyle name="Normal" xfId="0" builtinId="0"/>
    <cellStyle name="Normal 10" xfId="13" xr:uid="{00000000-0005-0000-0000-000007000000}"/>
    <cellStyle name="Normal 11" xfId="14" xr:uid="{00000000-0005-0000-0000-000008000000}"/>
    <cellStyle name="Normal 12" xfId="15" xr:uid="{00000000-0005-0000-0000-000009000000}"/>
    <cellStyle name="Normal 13" xfId="16" xr:uid="{00000000-0005-0000-0000-00000A000000}"/>
    <cellStyle name="Normal 14" xfId="17" xr:uid="{00000000-0005-0000-0000-00000B000000}"/>
    <cellStyle name="Normal 15" xfId="18" xr:uid="{00000000-0005-0000-0000-00000C000000}"/>
    <cellStyle name="Normal 16" xfId="19" xr:uid="{00000000-0005-0000-0000-00000D000000}"/>
    <cellStyle name="Normal 17" xfId="20" xr:uid="{00000000-0005-0000-0000-00000E000000}"/>
    <cellStyle name="Normal 18" xfId="21" xr:uid="{00000000-0005-0000-0000-00000F000000}"/>
    <cellStyle name="Normal 19" xfId="22" xr:uid="{00000000-0005-0000-0000-000010000000}"/>
    <cellStyle name="Normal 2" xfId="6" xr:uid="{00000000-0005-0000-0000-000011000000}"/>
    <cellStyle name="Normal 2 2" xfId="8" xr:uid="{00000000-0005-0000-0000-000012000000}"/>
    <cellStyle name="Normal 2 3" xfId="7" xr:uid="{00000000-0005-0000-0000-000013000000}"/>
    <cellStyle name="Normal 2 4" xfId="45" xr:uid="{00000000-0005-0000-0000-000014000000}"/>
    <cellStyle name="Normal 20" xfId="23" xr:uid="{00000000-0005-0000-0000-000015000000}"/>
    <cellStyle name="Normal 21" xfId="24" xr:uid="{00000000-0005-0000-0000-000016000000}"/>
    <cellStyle name="Normal 22" xfId="25" xr:uid="{00000000-0005-0000-0000-000017000000}"/>
    <cellStyle name="Normal 23" xfId="26" xr:uid="{00000000-0005-0000-0000-000018000000}"/>
    <cellStyle name="Normal 24" xfId="27" xr:uid="{00000000-0005-0000-0000-000019000000}"/>
    <cellStyle name="Normal 25" xfId="28" xr:uid="{00000000-0005-0000-0000-00001A000000}"/>
    <cellStyle name="Normal 26" xfId="29" xr:uid="{00000000-0005-0000-0000-00001B000000}"/>
    <cellStyle name="Normal 27" xfId="30" xr:uid="{00000000-0005-0000-0000-00001C000000}"/>
    <cellStyle name="Normal 28" xfId="31" xr:uid="{00000000-0005-0000-0000-00001D000000}"/>
    <cellStyle name="Normal 29" xfId="32" xr:uid="{00000000-0005-0000-0000-00001E000000}"/>
    <cellStyle name="Normal 3" xfId="33" xr:uid="{00000000-0005-0000-0000-00001F000000}"/>
    <cellStyle name="Normal 3 2" xfId="34" xr:uid="{00000000-0005-0000-0000-000020000000}"/>
    <cellStyle name="Normal 4" xfId="5" xr:uid="{00000000-0005-0000-0000-000021000000}"/>
    <cellStyle name="Normal 4 2" xfId="36" xr:uid="{00000000-0005-0000-0000-000022000000}"/>
    <cellStyle name="Normal 4 3" xfId="35" xr:uid="{00000000-0005-0000-0000-000023000000}"/>
    <cellStyle name="Normal 5" xfId="37" xr:uid="{00000000-0005-0000-0000-000024000000}"/>
    <cellStyle name="Normal 5 2" xfId="38" xr:uid="{00000000-0005-0000-0000-000025000000}"/>
    <cellStyle name="Normal 6" xfId="39" xr:uid="{00000000-0005-0000-0000-000026000000}"/>
    <cellStyle name="Normal 7" xfId="40" xr:uid="{00000000-0005-0000-0000-000027000000}"/>
    <cellStyle name="Normal 8" xfId="41" xr:uid="{00000000-0005-0000-0000-000028000000}"/>
    <cellStyle name="Normal 9" xfId="42" xr:uid="{00000000-0005-0000-0000-000029000000}"/>
    <cellStyle name="Normal_Notes" xfId="2" xr:uid="{00000000-0005-0000-0000-00002A000000}"/>
    <cellStyle name="Percent" xfId="4" builtinId="5"/>
    <cellStyle name="Percent 2" xfId="43" xr:uid="{00000000-0005-0000-0000-00002C000000}"/>
    <cellStyle name="Percent 3" xfId="44" xr:uid="{00000000-0005-0000-0000-00002D000000}"/>
  </cellStyles>
  <dxfs count="109">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6" formatCode="mm/dd/yyyy"/>
      <alignment horizontal="center" vertical="center" textRotation="0" wrapText="0" indent="0" justifyLastLine="0" shrinkToFit="0" readingOrder="0"/>
    </dxf>
    <dxf>
      <fill>
        <patternFill>
          <bgColor rgb="FFFABF8F"/>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08"/>
      <tableStyleElement type="firstRowStripe" dxfId="107"/>
    </tableStyle>
    <tableStyle name="Table Style 2" pivot="0" count="1" xr9:uid="{00000000-0011-0000-FFFF-FFFF01000000}">
      <tableStyleElement type="firstRowStripe" dxfId="106"/>
    </tableStyle>
    <tableStyle name="Table Style 3" pivot="0" count="1" xr9:uid="{00000000-0011-0000-FFFF-FFFF02000000}">
      <tableStyleElement type="firstRowStripe" dxfId="105"/>
    </tableStyle>
    <tableStyle name="Table Style 4" pivot="0" count="3" xr9:uid="{00000000-0011-0000-FFFF-FFFF03000000}">
      <tableStyleElement type="wholeTable" dxfId="104"/>
      <tableStyleElement type="headerRow" dxfId="103"/>
      <tableStyleElement type="firstRowStripe" dxfId="102"/>
    </tableStyle>
  </tableStyles>
  <colors>
    <mruColors>
      <color rgb="FFFABF8F"/>
      <color rgb="FFF4AF80"/>
      <color rgb="FFF2DCDB"/>
      <color rgb="FFACEAAC"/>
      <color rgb="FFC9FFF5"/>
      <color rgb="FFFFCCFF"/>
      <color rgb="FFDDD9C4"/>
      <color rgb="FFA2B9E2"/>
      <color rgb="FFCFB8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5">
      <queryTableField id="1" name="ADOT#" tableColumnId="21"/>
      <queryTableField id="2" name="TIP#" tableColumnId="22"/>
      <queryTableField id="3" name="Sponsor" tableColumnId="23"/>
      <queryTableField id="4" name="Action/15" tableColumnId="24"/>
      <queryTableField id="5" name="Location" tableColumnId="25"/>
      <queryTableField id="6" name="RTE" tableColumnId="26"/>
      <queryTableField id="7" name="SEC" tableColumnId="27"/>
      <queryTableField id="8" name="SEQ" tableColumnId="28"/>
      <queryTableField id="9" name="PB Expected" tableColumnId="29"/>
      <queryTableField id="10" name="PB Received" tableColumnId="30"/>
      <queryTableField id="11" name="PF Transmitted" tableColumnId="31"/>
      <queryTableField id="12" name="Finance Authorization" tableColumnId="32"/>
      <queryTableField id="13" name="HURF EX" tableColumnId="33"/>
      <queryTableField id="14" name="HSIP" tableColumnId="34"/>
      <queryTableField id="15" name="PL" tableColumnId="35"/>
      <queryTableField id="16" name="PL-SATO" tableColumnId="36"/>
      <queryTableField id="17" name="SPR" tableColumnId="37"/>
      <queryTableField id="18" name="STP &lt;5" tableColumnId="38"/>
      <queryTableField id="19" name="STP 5-200" tableColumnId="39"/>
      <queryTableField id="20" name="STP 5-50" tableColumnId="40"/>
      <queryTableField id="21" name="STP 50-200" tableColumnId="41"/>
      <queryTableField id="22" name="STP OTHER" tableColumnId="42"/>
      <queryTableField id="23" name="CRP 50-200" tableColumnId="43"/>
      <queryTableField id="24" dataBound="0" tableColumnId="44"/>
      <queryTableField id="25" dataBound="0" tableColumnId="4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5">
      <queryTableField id="1" name="ADOT#" tableColumnId="21"/>
      <queryTableField id="2" name="TIP#" tableColumnId="22"/>
      <queryTableField id="3" name="Sponsor" tableColumnId="23"/>
      <queryTableField id="4" name="Action/15" tableColumnId="24"/>
      <queryTableField id="5" name="Location" tableColumnId="25"/>
      <queryTableField id="6" name="RTE" tableColumnId="26"/>
      <queryTableField id="7" name="SEC" tableColumnId="27"/>
      <queryTableField id="8" name="SEQ" tableColumnId="28"/>
      <queryTableField id="9" name="PB Expected" tableColumnId="29"/>
      <queryTableField id="10" name="PB Received" tableColumnId="30"/>
      <queryTableField id="11" name="PF Transmitted" tableColumnId="31"/>
      <queryTableField id="12" name="Finance Authorization" tableColumnId="32"/>
      <queryTableField id="13" name="HURF EX" tableColumnId="33"/>
      <queryTableField id="14" name="HSIP" tableColumnId="34"/>
      <queryTableField id="15" name="PL" tableColumnId="35"/>
      <queryTableField id="16" name="PL-SATO" tableColumnId="36"/>
      <queryTableField id="17" name="SPR" tableColumnId="37"/>
      <queryTableField id="18" name="STP &lt;5" tableColumnId="38"/>
      <queryTableField id="19" name="STP 5-200" tableColumnId="39"/>
      <queryTableField id="20" name="STP 5-50" tableColumnId="40"/>
      <queryTableField id="21" name="STP 50-200" tableColumnId="41"/>
      <queryTableField id="22" name="STP OTHER" tableColumnId="42"/>
      <queryTableField id="23" name="CRP 50-200" tableColumnId="43"/>
      <queryTableField id="24" dataBound="0" tableColumnId="44"/>
      <queryTableField id="25" dataBound="0" tableColumnId="4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24">
    <queryTableFields count="20">
      <queryTableField id="1" name="Transaction Year" tableColumnId="4"/>
      <queryTableField id="2" name="Transaction Type" tableColumnId="5"/>
      <queryTableField id="3" name="Number" tableColumnId="6"/>
      <queryTableField id="4" name="From" tableColumnId="7"/>
      <queryTableField id="5" name="To" tableColumnId="8"/>
      <queryTableField id="6" name="Repayment Year" tableColumnId="9"/>
      <queryTableField id="7" name="Project8" tableColumnId="10"/>
      <queryTableField id="8" name="Notes" tableColumnId="11"/>
      <queryTableField id="9" name="Total" tableColumnId="12"/>
      <queryTableField id="10" name="HURF EXCHANGE" tableColumnId="13"/>
      <queryTableField id="11" name="HSIP" tableColumnId="14"/>
      <queryTableField id="12" name="PLAN" tableColumnId="15"/>
      <queryTableField id="13" name="PLAN SATO" tableColumnId="16"/>
      <queryTableField id="14" name="SPR" tableColumnId="17"/>
      <queryTableField id="15" name="STP &lt;5" tableColumnId="18"/>
      <queryTableField id="16" name="STP 5-2" tableColumnId="19"/>
      <queryTableField id="17" name="STP 5-50" tableColumnId="20"/>
      <queryTableField id="18" name="STP 50-200" tableColumnId="21"/>
      <queryTableField id="19" name="STP Flex" tableColumnId="22"/>
      <queryTableField id="23" name="CRP 50-200" tableColumnId="26"/>
    </queryTableFields>
    <queryTableDeletedFields count="3">
      <deletedField name="TAP &lt;5"/>
      <deletedField name="TAP 5-2"/>
      <deletedField name="TAP Flex"/>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24">
    <queryTableFields count="20">
      <queryTableField id="1" name="Transaction Year" tableColumnId="24"/>
      <queryTableField id="2" name="Transaction Type" tableColumnId="25"/>
      <queryTableField id="3" name="Number" tableColumnId="26"/>
      <queryTableField id="4" name="From" tableColumnId="27"/>
      <queryTableField id="5" name="To" tableColumnId="28"/>
      <queryTableField id="6" name="Repayment Year" tableColumnId="29"/>
      <queryTableField id="7" name="Project8" tableColumnId="30"/>
      <queryTableField id="8" name="Notes" tableColumnId="31"/>
      <queryTableField id="9" name="Total" tableColumnId="32"/>
      <queryTableField id="10" name="HURF EXCHANGE" tableColumnId="33"/>
      <queryTableField id="11" name="HSIP" tableColumnId="34"/>
      <queryTableField id="12" name="PLAN" tableColumnId="35"/>
      <queryTableField id="13" name="PLAN SATO" tableColumnId="36"/>
      <queryTableField id="14" name="SPR" tableColumnId="37"/>
      <queryTableField id="15" name="STP &lt;5" tableColumnId="38"/>
      <queryTableField id="16" name="STP 5-2" tableColumnId="39"/>
      <queryTableField id="17" name="STP 5-50" tableColumnId="40"/>
      <queryTableField id="18" name="STP 50-200" tableColumnId="41"/>
      <queryTableField id="19" name="STP Flex" tableColumnId="42"/>
      <queryTableField id="23" name="CRP 50-200" tableColumnId="46"/>
    </queryTableFields>
    <queryTableDeletedFields count="3">
      <deletedField name="TAP &lt;5"/>
      <deletedField name="TAP 5-2"/>
      <deletedField name="TAP Flex"/>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Y21" tableType="queryTable" totalsRowShown="0" headerRowDxfId="101" dataDxfId="100" tableBorderDxfId="99">
  <autoFilter ref="A15:Y21" xr:uid="{00000000-0009-0000-0100-000007000000}"/>
  <tableColumns count="25">
    <tableColumn id="21" xr3:uid="{00000000-0010-0000-0000-000015000000}" uniqueName="21" name="ADOT#" queryTableFieldId="1" dataDxfId="98"/>
    <tableColumn id="22" xr3:uid="{00000000-0010-0000-0000-000016000000}" uniqueName="22" name="TIP#" queryTableFieldId="2" dataDxfId="97"/>
    <tableColumn id="23" xr3:uid="{00000000-0010-0000-0000-000017000000}" uniqueName="23" name="Sponsor" queryTableFieldId="3" dataDxfId="96"/>
    <tableColumn id="24" xr3:uid="{00000000-0010-0000-0000-000018000000}" uniqueName="24" name="Action/15" queryTableFieldId="4" dataDxfId="95"/>
    <tableColumn id="25" xr3:uid="{00000000-0010-0000-0000-000019000000}" uniqueName="25" name="Location" queryTableFieldId="5" dataDxfId="94"/>
    <tableColumn id="26" xr3:uid="{00000000-0010-0000-0000-00001A000000}" uniqueName="26" name="RTE" queryTableFieldId="6" dataDxfId="93"/>
    <tableColumn id="27" xr3:uid="{00000000-0010-0000-0000-00001B000000}" uniqueName="27" name="SEC" queryTableFieldId="7" dataDxfId="92"/>
    <tableColumn id="28" xr3:uid="{00000000-0010-0000-0000-00001C000000}" uniqueName="28" name="SEQ" queryTableFieldId="8" dataDxfId="91"/>
    <tableColumn id="29" xr3:uid="{00000000-0010-0000-0000-00001D000000}" uniqueName="29" name="PB Expected" queryTableFieldId="9" dataDxfId="90"/>
    <tableColumn id="30" xr3:uid="{00000000-0010-0000-0000-00001E000000}" uniqueName="30" name="PB Received" queryTableFieldId="10" dataDxfId="89"/>
    <tableColumn id="31" xr3:uid="{00000000-0010-0000-0000-00001F000000}" uniqueName="31" name="PF Transmitted" queryTableFieldId="11" dataDxfId="88"/>
    <tableColumn id="32" xr3:uid="{00000000-0010-0000-0000-000020000000}" uniqueName="32" name="Finance Authorization" queryTableFieldId="12" dataDxfId="87"/>
    <tableColumn id="33" xr3:uid="{00000000-0010-0000-0000-000021000000}" uniqueName="33" name="HURF EX" queryTableFieldId="13" dataDxfId="86"/>
    <tableColumn id="34" xr3:uid="{00000000-0010-0000-0000-000022000000}" uniqueName="34" name="HSIP" queryTableFieldId="14" dataDxfId="85"/>
    <tableColumn id="35" xr3:uid="{00000000-0010-0000-0000-000023000000}" uniqueName="35" name="PL" queryTableFieldId="15" dataDxfId="84"/>
    <tableColumn id="36" xr3:uid="{00000000-0010-0000-0000-000024000000}" uniqueName="36" name="PL-SATO" queryTableFieldId="16" dataDxfId="83"/>
    <tableColumn id="37" xr3:uid="{00000000-0010-0000-0000-000025000000}" uniqueName="37" name="SPR" queryTableFieldId="17" dataDxfId="82"/>
    <tableColumn id="38" xr3:uid="{00000000-0010-0000-0000-000026000000}" uniqueName="38" name="STP &lt;5" queryTableFieldId="18" dataDxfId="81"/>
    <tableColumn id="39" xr3:uid="{00000000-0010-0000-0000-000027000000}" uniqueName="39" name="STP 5-200" queryTableFieldId="19" dataDxfId="80"/>
    <tableColumn id="40" xr3:uid="{00000000-0010-0000-0000-000028000000}" uniqueName="40" name="STP 5-50" queryTableFieldId="20" dataDxfId="79"/>
    <tableColumn id="41" xr3:uid="{00000000-0010-0000-0000-000029000000}" uniqueName="41" name="STP 50-200" queryTableFieldId="21" dataDxfId="78"/>
    <tableColumn id="42" xr3:uid="{00000000-0010-0000-0000-00002A000000}" uniqueName="42" name="STP OTHER" queryTableFieldId="22" dataDxfId="77"/>
    <tableColumn id="43" xr3:uid="{00000000-0010-0000-0000-00002B000000}" uniqueName="43" name="CRP 50-200" queryTableFieldId="23" dataDxfId="76"/>
    <tableColumn id="44" xr3:uid="{00000000-0010-0000-0000-00002C000000}" uniqueName="44" name="TOTAL OF AMOUNT" queryTableFieldId="24" dataDxfId="75">
      <calculatedColumnFormula>SUM(Table_Query_from_MS_Access_Database8[[#This Row],[HURF EX]:[CRP 50-200]])</calculatedColumnFormula>
    </tableColumn>
    <tableColumn id="45" xr3:uid="{00000000-0010-0000-0000-00002D000000}" uniqueName="45" name="DECLINING BALANCE OF OA" queryTableFieldId="25" dataDxfId="74">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32:Y39" tableType="queryTable" totalsRowShown="0" headerRowDxfId="73" dataDxfId="72">
  <autoFilter ref="A32:Y39" xr:uid="{00000000-0009-0000-0100-000008000000}"/>
  <tableColumns count="25">
    <tableColumn id="21" xr3:uid="{00000000-0010-0000-0100-000015000000}" uniqueName="21" name="ADOT#" queryTableFieldId="1" dataDxfId="71"/>
    <tableColumn id="22" xr3:uid="{00000000-0010-0000-0100-000016000000}" uniqueName="22" name="TIP#" queryTableFieldId="2" dataDxfId="70"/>
    <tableColumn id="23" xr3:uid="{00000000-0010-0000-0100-000017000000}" uniqueName="23" name="Sponsor" queryTableFieldId="3" dataDxfId="69"/>
    <tableColumn id="24" xr3:uid="{00000000-0010-0000-0100-000018000000}" uniqueName="24" name="Action/15" queryTableFieldId="4" dataDxfId="68"/>
    <tableColumn id="25" xr3:uid="{00000000-0010-0000-0100-000019000000}" uniqueName="25" name="Location" queryTableFieldId="5" dataDxfId="67"/>
    <tableColumn id="26" xr3:uid="{00000000-0010-0000-0100-00001A000000}" uniqueName="26" name="RTE" queryTableFieldId="6" dataDxfId="66"/>
    <tableColumn id="27" xr3:uid="{00000000-0010-0000-0100-00001B000000}" uniqueName="27" name="SEC" queryTableFieldId="7" dataDxfId="65"/>
    <tableColumn id="28" xr3:uid="{00000000-0010-0000-0100-00001C000000}" uniqueName="28" name="SEQ" queryTableFieldId="8" dataDxfId="64"/>
    <tableColumn id="29" xr3:uid="{00000000-0010-0000-0100-00001D000000}" uniqueName="29" name="PB Expected" queryTableFieldId="9" dataDxfId="63"/>
    <tableColumn id="30" xr3:uid="{00000000-0010-0000-0100-00001E000000}" uniqueName="30" name="PB Received" queryTableFieldId="10" dataDxfId="62"/>
    <tableColumn id="31" xr3:uid="{00000000-0010-0000-0100-00001F000000}" uniqueName="31" name="PF Transmitted" queryTableFieldId="11" dataDxfId="61"/>
    <tableColumn id="32" xr3:uid="{00000000-0010-0000-0100-000020000000}" uniqueName="32" name="Finance Authorization" queryTableFieldId="12" dataDxfId="60"/>
    <tableColumn id="33" xr3:uid="{00000000-0010-0000-0100-000021000000}" uniqueName="33" name="HURF EX" queryTableFieldId="13" dataDxfId="59"/>
    <tableColumn id="34" xr3:uid="{00000000-0010-0000-0100-000022000000}" uniqueName="34" name="HSIP" queryTableFieldId="14" dataDxfId="58"/>
    <tableColumn id="35" xr3:uid="{00000000-0010-0000-0100-000023000000}" uniqueName="35" name="PL" queryTableFieldId="15" dataDxfId="57"/>
    <tableColumn id="36" xr3:uid="{00000000-0010-0000-0100-000024000000}" uniqueName="36" name="PL-SATO" queryTableFieldId="16" dataDxfId="56"/>
    <tableColumn id="37" xr3:uid="{00000000-0010-0000-0100-000025000000}" uniqueName="37" name="SPR" queryTableFieldId="17" dataDxfId="55"/>
    <tableColumn id="38" xr3:uid="{00000000-0010-0000-0100-000026000000}" uniqueName="38" name="STP &lt;5" queryTableFieldId="18" dataDxfId="54"/>
    <tableColumn id="39" xr3:uid="{00000000-0010-0000-0100-000027000000}" uniqueName="39" name="STP 5-200" queryTableFieldId="19" dataDxfId="53"/>
    <tableColumn id="40" xr3:uid="{00000000-0010-0000-0100-000028000000}" uniqueName="40" name="STP 5-50" queryTableFieldId="20" dataDxfId="52"/>
    <tableColumn id="41" xr3:uid="{00000000-0010-0000-0100-000029000000}" uniqueName="41" name="STP 50-200" queryTableFieldId="21" dataDxfId="51"/>
    <tableColumn id="42" xr3:uid="{00000000-0010-0000-0100-00002A000000}" uniqueName="42" name="STP OTHER" queryTableFieldId="22" dataDxfId="50"/>
    <tableColumn id="43" xr3:uid="{00000000-0010-0000-0100-00002B000000}" uniqueName="43" name="CRP 50-200" queryTableFieldId="23" dataDxfId="49"/>
    <tableColumn id="44" xr3:uid="{00000000-0010-0000-0100-00002C000000}" uniqueName="44" name="TOTAL OF AMOUNT" queryTableFieldId="24" dataDxfId="48" dataCellStyle="Comma">
      <calculatedColumnFormula>SUM(Table_Query_from_MS_Access_Database_1[[#This Row],[HURF EX]:[CRP 50-200]])</calculatedColumnFormula>
    </tableColumn>
    <tableColumn id="45" xr3:uid="{00000000-0010-0000-0100-00002D000000}" uniqueName="45" name="DECLINING BALANCE OF OA" queryTableFieldId="25" dataDxfId="47">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T71" tableType="queryTable" totalsRowShown="0" headerRowDxfId="46" headerRowBorderDxfId="45" tableBorderDxfId="44" totalsRowBorderDxfId="43" headerRowCellStyle="Comma" dataCellStyle="Comma">
  <autoFilter ref="A11:T71" xr:uid="{00000000-0009-0000-0100-000004000000}">
    <filterColumn colId="0">
      <filters>
        <filter val="2023"/>
        <filter val="2024"/>
        <filter val="2025"/>
        <filter val="2026"/>
      </filters>
    </filterColumn>
  </autoFilter>
  <tableColumns count="20">
    <tableColumn id="4" xr3:uid="{00000000-0010-0000-0200-000004000000}" uniqueName="4" name="Transaction Year" queryTableFieldId="1" dataDxfId="42" dataCellStyle="Comma"/>
    <tableColumn id="5" xr3:uid="{00000000-0010-0000-0200-000005000000}" uniqueName="5" name="Transaction Type" queryTableFieldId="2" dataDxfId="41" dataCellStyle="Comma"/>
    <tableColumn id="6" xr3:uid="{00000000-0010-0000-0200-000006000000}" uniqueName="6" name="Number" queryTableFieldId="3" dataDxfId="40" dataCellStyle="Comma"/>
    <tableColumn id="7" xr3:uid="{00000000-0010-0000-0200-000007000000}" uniqueName="7" name="From" queryTableFieldId="4" dataDxfId="39" dataCellStyle="Comma"/>
    <tableColumn id="8" xr3:uid="{00000000-0010-0000-0200-000008000000}" uniqueName="8" name="To" queryTableFieldId="5" dataDxfId="38" dataCellStyle="Comma"/>
    <tableColumn id="9" xr3:uid="{00000000-0010-0000-0200-000009000000}" uniqueName="9" name="Repayment Year" queryTableFieldId="6" dataDxfId="37" dataCellStyle="Comma"/>
    <tableColumn id="10" xr3:uid="{00000000-0010-0000-0200-00000A000000}" uniqueName="10" name="Project8" queryTableFieldId="7" dataDxfId="36" dataCellStyle="Comma"/>
    <tableColumn id="11" xr3:uid="{00000000-0010-0000-0200-00000B000000}" uniqueName="11" name="Notes" queryTableFieldId="8" dataDxfId="35" dataCellStyle="Comma"/>
    <tableColumn id="12" xr3:uid="{00000000-0010-0000-0200-00000C000000}" uniqueName="12" name="Total" queryTableFieldId="9" dataDxfId="34" dataCellStyle="Comma"/>
    <tableColumn id="13" xr3:uid="{00000000-0010-0000-0200-00000D000000}" uniqueName="13" name="HURF EXCHANGE" queryTableFieldId="10" dataDxfId="33" dataCellStyle="Comma"/>
    <tableColumn id="14" xr3:uid="{00000000-0010-0000-0200-00000E000000}" uniqueName="14" name="HSIP" queryTableFieldId="11" dataDxfId="32" dataCellStyle="Comma"/>
    <tableColumn id="15" xr3:uid="{00000000-0010-0000-0200-00000F000000}" uniqueName="15" name="PLAN" queryTableFieldId="12" dataDxfId="31" dataCellStyle="Comma"/>
    <tableColumn id="16" xr3:uid="{00000000-0010-0000-0200-000010000000}" uniqueName="16" name="PLAN SATO" queryTableFieldId="13" dataDxfId="30" dataCellStyle="Comma"/>
    <tableColumn id="17" xr3:uid="{00000000-0010-0000-0200-000011000000}" uniqueName="17" name="SPR" queryTableFieldId="14" dataDxfId="29" dataCellStyle="Comma"/>
    <tableColumn id="18" xr3:uid="{00000000-0010-0000-0200-000012000000}" uniqueName="18" name="STP &lt;5" queryTableFieldId="15" dataDxfId="28" dataCellStyle="Comma"/>
    <tableColumn id="19" xr3:uid="{00000000-0010-0000-0200-000013000000}" uniqueName="19" name="STP 5-2" queryTableFieldId="16" dataDxfId="27" dataCellStyle="Comma"/>
    <tableColumn id="20" xr3:uid="{00000000-0010-0000-0200-000014000000}" uniqueName="20" name="STP 5-50" queryTableFieldId="17" dataDxfId="26" dataCellStyle="Comma"/>
    <tableColumn id="21" xr3:uid="{00000000-0010-0000-0200-000015000000}" uniqueName="21" name="STP 50-200" queryTableFieldId="18" dataDxfId="25" dataCellStyle="Comma"/>
    <tableColumn id="22" xr3:uid="{00000000-0010-0000-0200-000016000000}" uniqueName="22" name="STP Flex" queryTableFieldId="19" dataDxfId="24" dataCellStyle="Comma"/>
    <tableColumn id="26" xr3:uid="{00000000-0010-0000-0200-00001A000000}" uniqueName="26" name="CRP 50-200" queryTableFieldId="23" dataDxfId="23"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128:T188" tableType="queryTable" totalsRowShown="0" headerRowDxfId="22" dataDxfId="21" tableBorderDxfId="20" headerRowCellStyle="Comma" dataCellStyle="Comma">
  <autoFilter ref="A128:T188" xr:uid="{00000000-0009-0000-0100-000005000000}">
    <filterColumn colId="0">
      <filters>
        <filter val="2023"/>
        <filter val="2024"/>
        <filter val="2025"/>
        <filter val="2026"/>
      </filters>
    </filterColumn>
  </autoFilter>
  <tableColumns count="20">
    <tableColumn id="24" xr3:uid="{00000000-0010-0000-0300-000018000000}" uniqueName="24" name="Transaction Year" queryTableFieldId="1" dataDxfId="19" dataCellStyle="Comma"/>
    <tableColumn id="25" xr3:uid="{00000000-0010-0000-0300-000019000000}" uniqueName="25" name="Transaction Type" queryTableFieldId="2" dataDxfId="18" dataCellStyle="Comma"/>
    <tableColumn id="26" xr3:uid="{00000000-0010-0000-0300-00001A000000}" uniqueName="26" name="Number" queryTableFieldId="3" dataDxfId="17" dataCellStyle="Comma"/>
    <tableColumn id="27" xr3:uid="{00000000-0010-0000-0300-00001B000000}" uniqueName="27" name="From" queryTableFieldId="4" dataDxfId="16" dataCellStyle="Comma"/>
    <tableColumn id="28" xr3:uid="{00000000-0010-0000-0300-00001C000000}" uniqueName="28" name="To" queryTableFieldId="5" dataDxfId="15" dataCellStyle="Comma"/>
    <tableColumn id="29" xr3:uid="{00000000-0010-0000-0300-00001D000000}" uniqueName="29" name="Repayment Year" queryTableFieldId="6" dataDxfId="14" dataCellStyle="Comma"/>
    <tableColumn id="30" xr3:uid="{00000000-0010-0000-0300-00001E000000}" uniqueName="30" name="Project8" queryTableFieldId="7" dataDxfId="13" dataCellStyle="Comma"/>
    <tableColumn id="31" xr3:uid="{00000000-0010-0000-0300-00001F000000}" uniqueName="31" name="Notes" queryTableFieldId="8" dataDxfId="12" dataCellStyle="Comma"/>
    <tableColumn id="32" xr3:uid="{00000000-0010-0000-0300-000020000000}" uniqueName="32" name="Total" queryTableFieldId="9" dataDxfId="11" dataCellStyle="Comma"/>
    <tableColumn id="33" xr3:uid="{00000000-0010-0000-0300-000021000000}" uniqueName="33" name="HURF EXCHANGE" queryTableFieldId="10" dataDxfId="10" dataCellStyle="Comma"/>
    <tableColumn id="34" xr3:uid="{00000000-0010-0000-0300-000022000000}" uniqueName="34" name="HSIP" queryTableFieldId="11" dataDxfId="9" dataCellStyle="Comma"/>
    <tableColumn id="35" xr3:uid="{00000000-0010-0000-0300-000023000000}" uniqueName="35" name="PLAN" queryTableFieldId="12" dataDxfId="8" dataCellStyle="Comma"/>
    <tableColumn id="36" xr3:uid="{00000000-0010-0000-0300-000024000000}" uniqueName="36" name="PLAN SATO" queryTableFieldId="13" dataDxfId="7" dataCellStyle="Comma"/>
    <tableColumn id="37" xr3:uid="{00000000-0010-0000-0300-000025000000}" uniqueName="37" name="SPR" queryTableFieldId="14" dataDxfId="6" dataCellStyle="Comma"/>
    <tableColumn id="38" xr3:uid="{00000000-0010-0000-0300-000026000000}" uniqueName="38" name="STP &lt;5" queryTableFieldId="15" dataDxfId="5" dataCellStyle="Comma"/>
    <tableColumn id="39" xr3:uid="{00000000-0010-0000-0300-000027000000}" uniqueName="39" name="STP 5-2" queryTableFieldId="16" dataDxfId="4" dataCellStyle="Comma"/>
    <tableColumn id="40" xr3:uid="{00000000-0010-0000-0300-000028000000}" uniqueName="40" name="STP 5-50" queryTableFieldId="17" dataDxfId="3" dataCellStyle="Comma"/>
    <tableColumn id="41" xr3:uid="{00000000-0010-0000-0300-000029000000}" uniqueName="41" name="STP 50-200" queryTableFieldId="18" dataDxfId="2" dataCellStyle="Comma"/>
    <tableColumn id="42" xr3:uid="{00000000-0010-0000-0300-00002A000000}" uniqueName="42" name="STP Flex" queryTableFieldId="19" dataDxfId="1" dataCellStyle="Comma"/>
    <tableColumn id="46" xr3:uid="{00000000-0010-0000-0300-00002E000000}" uniqueName="46" name="CRP 50-200" queryTableFieldId="23" dataDxfId="0"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66"/>
  <sheetViews>
    <sheetView tabSelected="1" zoomScale="80" zoomScaleNormal="80" zoomScaleSheetLayoutView="115" workbookViewId="0">
      <selection sqref="A1:F1"/>
    </sheetView>
  </sheetViews>
  <sheetFormatPr defaultColWidth="32" defaultRowHeight="13.8" outlineLevelCol="1"/>
  <cols>
    <col min="1" max="1" width="12.6640625" style="24" customWidth="1"/>
    <col min="2" max="4" width="15.6640625" style="24" customWidth="1"/>
    <col min="5" max="5" width="34.88671875" style="24" customWidth="1"/>
    <col min="6" max="6" width="10.88671875" style="24" customWidth="1" outlineLevel="1"/>
    <col min="7" max="7" width="9.109375" style="24" customWidth="1" outlineLevel="1"/>
    <col min="8" max="8" width="9.33203125" style="24" customWidth="1" outlineLevel="1"/>
    <col min="9" max="9" width="17.5546875" style="24" bestFit="1" customWidth="1"/>
    <col min="10" max="10" width="14.6640625" style="24" bestFit="1" customWidth="1"/>
    <col min="11" max="11" width="12.6640625" style="24" customWidth="1"/>
    <col min="12" max="12" width="18.88671875" style="24" customWidth="1"/>
    <col min="13" max="13" width="17" style="24" customWidth="1"/>
    <col min="14" max="20" width="17" style="27" customWidth="1"/>
    <col min="21" max="23" width="17" style="24" customWidth="1"/>
    <col min="24" max="24" width="16.88671875" style="24" customWidth="1"/>
    <col min="25" max="25" width="21.44140625" style="24" customWidth="1"/>
    <col min="26" max="16384" width="32" style="24"/>
  </cols>
  <sheetData>
    <row r="1" spans="1:27" ht="23.25" customHeight="1" thickBot="1">
      <c r="A1" s="206" t="s">
        <v>87</v>
      </c>
      <c r="B1" s="206"/>
      <c r="C1" s="206"/>
      <c r="D1" s="206"/>
      <c r="E1" s="206"/>
      <c r="F1" s="206"/>
      <c r="J1" s="25"/>
      <c r="K1" s="26"/>
      <c r="L1" s="25"/>
      <c r="M1" s="204" t="s">
        <v>75</v>
      </c>
      <c r="N1" s="204"/>
      <c r="O1" s="204"/>
      <c r="P1" s="204"/>
      <c r="Q1" s="204"/>
      <c r="R1" s="204"/>
      <c r="S1" s="204"/>
      <c r="T1" s="204"/>
      <c r="U1" s="204"/>
      <c r="V1" s="204"/>
      <c r="W1" s="204"/>
      <c r="X1" s="204"/>
    </row>
    <row r="2" spans="1:27" ht="17.25" customHeight="1" thickBot="1">
      <c r="J2" s="25"/>
      <c r="K2" s="25"/>
      <c r="L2" s="25"/>
      <c r="M2" s="201" t="s">
        <v>12</v>
      </c>
      <c r="N2" s="202"/>
      <c r="O2" s="202"/>
      <c r="P2" s="202"/>
      <c r="Q2" s="202"/>
      <c r="R2" s="202"/>
      <c r="S2" s="202"/>
      <c r="T2" s="202"/>
      <c r="U2" s="202"/>
      <c r="V2" s="202"/>
      <c r="W2" s="202"/>
      <c r="X2" s="203"/>
    </row>
    <row r="3" spans="1:27" ht="25.2" customHeight="1">
      <c r="A3" s="211" t="s">
        <v>289</v>
      </c>
      <c r="B3" s="211"/>
      <c r="C3" s="211"/>
      <c r="D3" s="28"/>
      <c r="E3" s="28"/>
      <c r="F3" s="28"/>
      <c r="G3" s="28"/>
      <c r="J3" s="25"/>
      <c r="K3" s="60"/>
      <c r="L3" s="112" t="s">
        <v>11</v>
      </c>
      <c r="M3" s="154" t="s">
        <v>137</v>
      </c>
      <c r="N3" s="155" t="s">
        <v>58</v>
      </c>
      <c r="O3" s="155" t="s">
        <v>41</v>
      </c>
      <c r="P3" s="155" t="s">
        <v>185</v>
      </c>
      <c r="Q3" s="155" t="s">
        <v>54</v>
      </c>
      <c r="R3" s="155" t="s">
        <v>123</v>
      </c>
      <c r="S3" s="155" t="s">
        <v>131</v>
      </c>
      <c r="T3" s="155" t="s">
        <v>186</v>
      </c>
      <c r="U3" s="155" t="s">
        <v>187</v>
      </c>
      <c r="V3" s="155" t="s">
        <v>6</v>
      </c>
      <c r="W3" s="155" t="s">
        <v>188</v>
      </c>
      <c r="X3" s="155" t="s">
        <v>10</v>
      </c>
      <c r="Y3" s="131" t="s">
        <v>15</v>
      </c>
    </row>
    <row r="4" spans="1:27" ht="26.4" customHeight="1">
      <c r="A4" s="179"/>
      <c r="E4" s="29"/>
      <c r="F4" s="29"/>
      <c r="G4" s="29"/>
      <c r="J4" s="25"/>
      <c r="K4" s="25"/>
      <c r="L4" s="113" t="s">
        <v>133</v>
      </c>
      <c r="M4" s="114"/>
      <c r="N4" s="115"/>
      <c r="O4" s="115"/>
      <c r="P4" s="115"/>
      <c r="Q4" s="115"/>
      <c r="R4" s="115"/>
      <c r="S4" s="115"/>
      <c r="T4" s="115"/>
      <c r="U4" s="115"/>
      <c r="V4" s="115"/>
      <c r="W4" s="115">
        <f>1000782-W8</f>
        <v>223505.20999999996</v>
      </c>
      <c r="X4" s="115">
        <f t="shared" ref="X4:X11" si="0">SUM(M4:W4)</f>
        <v>223505.20999999996</v>
      </c>
      <c r="Y4" s="169">
        <v>0</v>
      </c>
    </row>
    <row r="5" spans="1:27" ht="42" customHeight="1">
      <c r="A5" s="210" t="s">
        <v>255</v>
      </c>
      <c r="B5" s="210"/>
      <c r="C5" s="210"/>
      <c r="D5" s="210"/>
      <c r="J5" s="25"/>
      <c r="K5" s="25"/>
      <c r="L5" s="116" t="s">
        <v>110</v>
      </c>
      <c r="M5" s="117">
        <v>0</v>
      </c>
      <c r="N5" s="118">
        <v>0</v>
      </c>
      <c r="O5" s="119">
        <f>+'FY26 Apportionments'!C4</f>
        <v>407347</v>
      </c>
      <c r="P5" s="119">
        <f>+'FY26 Apportionments'!C5</f>
        <v>10444</v>
      </c>
      <c r="Q5" s="119">
        <f>+'FY26 Apportionments'!D3</f>
        <v>175000</v>
      </c>
      <c r="R5" s="119">
        <f>+'FY26 Apportionments'!D9</f>
        <v>183581</v>
      </c>
      <c r="S5" s="118">
        <f>+'FY26 Apportionments'!D6</f>
        <v>0</v>
      </c>
      <c r="T5" s="119">
        <f>+'FY26 Apportionments'!D7</f>
        <v>284080</v>
      </c>
      <c r="U5" s="119">
        <f>+'FY26 Apportionments'!D8</f>
        <v>691817</v>
      </c>
      <c r="V5" s="118">
        <v>0</v>
      </c>
      <c r="W5" s="119">
        <f>+'FY26 Apportionments'!C10</f>
        <v>298231</v>
      </c>
      <c r="X5" s="118">
        <f t="shared" si="0"/>
        <v>2050500</v>
      </c>
      <c r="Y5" s="132">
        <f>ROUND(+'Federal Funds Transactions'!$X5*0.949,0)</f>
        <v>1945925</v>
      </c>
    </row>
    <row r="6" spans="1:27">
      <c r="A6" s="65" t="s">
        <v>78</v>
      </c>
      <c r="C6" s="52">
        <v>46024</v>
      </c>
      <c r="J6" s="25"/>
      <c r="K6" s="25"/>
      <c r="L6" s="113" t="s">
        <v>66</v>
      </c>
      <c r="M6" s="167">
        <f>SUMIFS(Table_Query_from_MS_Access_Database[[#All],[HURF EXCHANGE]],Table_Query_from_MS_Access_Database[[#All],[Transaction Year]],"2026",Table_Query_from_MS_Access_Database[[#All],[Transaction Type]],"loan in")</f>
        <v>0</v>
      </c>
      <c r="N6" s="165">
        <f>SUMIFS(Table_Query_from_MS_Access_Database[[#All],[HSIP]],Table_Query_from_MS_Access_Database[[#All],[Transaction Type]],"2026",Table_Query_from_MS_Access_Database[[#All],[Transaction Year]],"loan in")</f>
        <v>0</v>
      </c>
      <c r="O6" s="166">
        <f>SUMIFS(Table_Query_from_MS_Access_Database[[#All],[PLAN]],Table_Query_from_MS_Access_Database[[#All],[Transaction Type]],"2026",Table_Query_from_MS_Access_Database[[#All],[Transaction Year]],"loan in")</f>
        <v>0</v>
      </c>
      <c r="P6" s="121">
        <f>SUMIFS(Table_Query_from_MS_Access_Database[[#All],[PLAN SATO]],Table_Query_from_MS_Access_Database[[#All],[Transaction Type]],"2026",Table_Query_from_MS_Access_Database[[#All],[Transaction Year]],"loan in")</f>
        <v>0</v>
      </c>
      <c r="Q6" s="121">
        <f>SUMIFS(Table_Query_from_MS_Access_Database[[#All],[SPR]],Table_Query_from_MS_Access_Database[[#All],[Transaction Year]],"2026",Table_Query_from_MS_Access_Database[[#All],[Transaction Type]],"loan in")</f>
        <v>0</v>
      </c>
      <c r="R6" s="121">
        <f>SUMIFS(Table_Query_from_MS_Access_Database[[#All],[STP &lt;5]],Table_Query_from_MS_Access_Database[[#All],[Transaction Year]],"2026",Table_Query_from_MS_Access_Database[[#All],[Transaction Type]],"loan in")</f>
        <v>0</v>
      </c>
      <c r="S6" s="121">
        <f>SUMIFS(Table_Query_from_MS_Access_Database[[#All],[STP 5-2]],Table_Query_from_MS_Access_Database[[#All],[Transaction Year]],"2026",Table_Query_from_MS_Access_Database[[#All],[Transaction Type]],"loan in")</f>
        <v>0</v>
      </c>
      <c r="T6" s="121">
        <f>SUMIFS(Table_Query_from_MS_Access_Database[[#All],[STP 5-50]],Table_Query_from_MS_Access_Database[[#All],[Transaction Year]],"2026",Table_Query_from_MS_Access_Database[[#All],[Transaction Type]],"loan in")</f>
        <v>0</v>
      </c>
      <c r="U6" s="121">
        <f>SUMIFS(Table_Query_from_MS_Access_Database[[#All],[STP 50-200]],Table_Query_from_MS_Access_Database[[#All],[Transaction Year]],"2026",Table_Query_from_MS_Access_Database[[#All],[Transaction Type]],"loan in")</f>
        <v>0</v>
      </c>
      <c r="V6" s="121">
        <f>SUMIFS(Table_Query_from_MS_Access_Database[[#All],[STP Flex]],Table_Query_from_MS_Access_Database[[#All],[Transaction Year]],"2026",Table_Query_from_MS_Access_Database[[#All],[Transaction Type]],"loan in")</f>
        <v>0</v>
      </c>
      <c r="W6" s="121">
        <f>SUMIFS(Table_Query_from_MS_Access_Database[[#All],[CRP 50-200]],Table_Query_from_MS_Access_Database[[#All],[Transaction Year]],"2026",Table_Query_from_MS_Access_Database[[#All],[Transaction Type]],"loan in")</f>
        <v>0</v>
      </c>
      <c r="X6" s="115">
        <f t="shared" si="0"/>
        <v>0</v>
      </c>
      <c r="Y6" s="133">
        <f>SUMIFS(Table_Query_from_MS_Access_Database_16[[#All],[Total]],Table_Query_from_MS_Access_Database_16[[#All],[Transaction Year]],"2026",Table_Query_from_MS_Access_Database_16[[#All],[Transaction Type]],"Loan In")</f>
        <v>0</v>
      </c>
    </row>
    <row r="7" spans="1:27">
      <c r="A7" s="31"/>
      <c r="J7" s="25"/>
      <c r="K7" s="25"/>
      <c r="L7" s="116" t="s">
        <v>67</v>
      </c>
      <c r="M7" s="122">
        <f>SUMIFS(Table_Query_from_MS_Access_Database[[#All],[HURF EXCHANGE]],Table_Query_from_MS_Access_Database[[#All],[Transaction Year]],"2026",Table_Query_from_MS_Access_Database[[#All],[Transaction Type]],"loan Out")</f>
        <v>0</v>
      </c>
      <c r="N7" s="123">
        <f>SUMIFS(Table_Query_from_MS_Access_Database[[#All],[HSIP]],Table_Query_from_MS_Access_Database[[#All],[Transaction Year]],"2026",Table_Query_from_MS_Access_Database[[#All],[Transaction Type]],"loan Out")</f>
        <v>0</v>
      </c>
      <c r="O7" s="123">
        <f>SUMIFS(Table_Query_from_MS_Access_Database[[#All],[PLAN]],Table_Query_from_MS_Access_Database[[#All],[Transaction Year]],"2026",Table_Query_from_MS_Access_Database[[#All],[Transaction Type]],"loan Out")</f>
        <v>0</v>
      </c>
      <c r="P7" s="123">
        <f>SUMIFS(Table_Query_from_MS_Access_Database[[#All],[PLAN SATO]],Table_Query_from_MS_Access_Database[[#All],[Transaction Type]],"2026",Table_Query_from_MS_Access_Database[[#All],[Transaction Year]],"loan Out")</f>
        <v>0</v>
      </c>
      <c r="Q7" s="123">
        <f>SUMIFS(Table_Query_from_MS_Access_Database[[#All],[SPR]],Table_Query_from_MS_Access_Database[[#All],[Transaction Year]],"2026",Table_Query_from_MS_Access_Database[[#All],[Transaction Type]],"loan Out")</f>
        <v>0</v>
      </c>
      <c r="R7" s="123">
        <f>SUMIFS(Table_Query_from_MS_Access_Database[[#All],[STP &lt;5]],Table_Query_from_MS_Access_Database[[#All],[Transaction Year]],"2026",Table_Query_from_MS_Access_Database[[#All],[Transaction Type]],"loan Out")</f>
        <v>0</v>
      </c>
      <c r="S7" s="123">
        <f>SUMIFS(Table_Query_from_MS_Access_Database[[#All],[STP 5-2]],Table_Query_from_MS_Access_Database[[#All],[Transaction Year]],"2026",Table_Query_from_MS_Access_Database[[#All],[Transaction Type]],"loan Out")</f>
        <v>0</v>
      </c>
      <c r="T7" s="123">
        <f>SUMIFS(Table_Query_from_MS_Access_Database[[#All],[STP 5-50]],Table_Query_from_MS_Access_Database[[#All],[Transaction Year]],"2026",Table_Query_from_MS_Access_Database[[#All],[Transaction Type]],"loan Out")</f>
        <v>0</v>
      </c>
      <c r="U7" s="123">
        <f>SUMIFS(Table_Query_from_MS_Access_Database[[#All],[STP 50-200]],Table_Query_from_MS_Access_Database[[#All],[Transaction Year]],"2026",Table_Query_from_MS_Access_Database[[#All],[Transaction Type]],"loan Out")</f>
        <v>0</v>
      </c>
      <c r="V7" s="123">
        <f>SUMIFS(Table_Query_from_MS_Access_Database[[#All],[STP Flex]],Table_Query_from_MS_Access_Database[[#All],[Transaction Year]],"2026",Table_Query_from_MS_Access_Database[[#All],[Transaction Type]],"loan Out")</f>
        <v>0</v>
      </c>
      <c r="W7" s="123">
        <f>SUMIFS(Table_Query_from_MS_Access_Database[[#All],[CRP 50-200]],Table_Query_from_MS_Access_Database[[#All],[Transaction Year]],"2026",Table_Query_from_MS_Access_Database[[#All],[Transaction Type]],"loan Out")</f>
        <v>0</v>
      </c>
      <c r="X7" s="118">
        <f t="shared" si="0"/>
        <v>0</v>
      </c>
      <c r="Y7" s="134">
        <f>SUMIFS(Table_Query_from_MS_Access_Database_16[[#All],[Total]],Table_Query_from_MS_Access_Database_16[[#All],[Transaction Year]],"2026",Table_Query_from_MS_Access_Database_16[[#All],[Transaction Type]],"Loan Out")</f>
        <v>0</v>
      </c>
    </row>
    <row r="8" spans="1:27">
      <c r="J8" s="25"/>
      <c r="K8" s="25"/>
      <c r="L8" s="113" t="s">
        <v>68</v>
      </c>
      <c r="M8" s="120">
        <f>SUMIFS(Table_Query_from_MS_Access_Database[[#All],[HURF EXCHANGE]],Table_Query_from_MS_Access_Database[[#All],[Transaction Year]],"2026",Table_Query_from_MS_Access_Database[[#All],[Transaction Type]],"repayment in")</f>
        <v>0</v>
      </c>
      <c r="N8" s="121">
        <f>SUMIFS(Table_Query_from_MS_Access_Database[[#All],[HSIP]],Table_Query_from_MS_Access_Database[[#All],[Transaction Year]],"2026",Table_Query_from_MS_Access_Database[[#All],[Transaction Type]],"repayment in")</f>
        <v>0</v>
      </c>
      <c r="O8" s="121">
        <f>SUMIFS(Table_Query_from_MS_Access_Database[[#All],[PLAN]],Table_Query_from_MS_Access_Database[[#All],[Transaction Year]],"2026",Table_Query_from_MS_Access_Database[[#All],[Transaction Type]],"repayment in")</f>
        <v>0</v>
      </c>
      <c r="P8" s="121">
        <f>SUMIFS(Table_Query_from_MS_Access_Database[[#All],[PLAN SATO]],Table_Query_from_MS_Access_Database[[#All],[Transaction Type]],"2026",Table_Query_from_MS_Access_Database[[#All],[Transaction Year]],"repayment in")</f>
        <v>0</v>
      </c>
      <c r="Q8" s="121">
        <f>SUMIFS(Table_Query_from_MS_Access_Database[[#All],[SPR]],Table_Query_from_MS_Access_Database[[#All],[Transaction Year]],"2026",Table_Query_from_MS_Access_Database[[#All],[Transaction Type]],"repayment in")</f>
        <v>0</v>
      </c>
      <c r="R8" s="121">
        <f>SUMIFS(Table_Query_from_MS_Access_Database[[#All],[STP &lt;5]],Table_Query_from_MS_Access_Database[[#All],[Transaction Year]],"2026",Table_Query_from_MS_Access_Database[[#All],[Transaction Type]],"repayment in")</f>
        <v>0</v>
      </c>
      <c r="S8" s="121">
        <f>SUMIFS(Table_Query_from_MS_Access_Database[[#All],[STP 5-2]],Table_Query_from_MS_Access_Database[[#All],[Transaction Year]],"2026",Table_Query_from_MS_Access_Database[[#All],[Transaction Type]],"repayment in")</f>
        <v>0</v>
      </c>
      <c r="T8" s="121">
        <f>SUMIFS(Table_Query_from_MS_Access_Database[[#All],[STP 5-50]],Table_Query_from_MS_Access_Database[[#All],[Transaction Year]],"2026",Table_Query_from_MS_Access_Database[[#All],[Transaction Type]],"repayment in")</f>
        <v>10929</v>
      </c>
      <c r="U8" s="121">
        <f>SUMIFS(Table_Query_from_MS_Access_Database[[#All],[STP 50-200]],Table_Query_from_MS_Access_Database[[#All],[Transaction Year]],"2026",Table_Query_from_MS_Access_Database[[#All],[Transaction Type]],"repayment in")</f>
        <v>0</v>
      </c>
      <c r="V8" s="121">
        <f>SUMIFS(Table_Query_from_MS_Access_Database[[#All],[STP Flex]],Table_Query_from_MS_Access_Database[[#All],[Transaction Year]],"2026",Table_Query_from_MS_Access_Database[[#All],[Transaction Type]],"repayment in")</f>
        <v>0</v>
      </c>
      <c r="W8" s="121">
        <f>SUMIFS(Table_Query_from_MS_Access_Database[[#All],[CRP 50-200]],Table_Query_from_MS_Access_Database[[#All],[Transaction Year]],"2026",Table_Query_from_MS_Access_Database[[#All],[Transaction Type]],"repayment in")</f>
        <v>777276.79</v>
      </c>
      <c r="X8" s="115">
        <f t="shared" si="0"/>
        <v>788205.79</v>
      </c>
      <c r="Y8" s="133">
        <f>SUMIFS(Table_Query_from_MS_Access_Database_16[[#All],[Total]],Table_Query_from_MS_Access_Database_16[[#All],[Transaction Year]],"2026",Table_Query_from_MS_Access_Database_16[[#All],[Transaction Type]],"repayment In")</f>
        <v>788205.79</v>
      </c>
    </row>
    <row r="9" spans="1:27" ht="24" customHeight="1">
      <c r="A9" s="160" t="s">
        <v>82</v>
      </c>
      <c r="B9" s="160"/>
      <c r="C9" s="160"/>
      <c r="D9" s="160"/>
      <c r="E9" s="160"/>
      <c r="F9" s="160"/>
      <c r="G9" s="160"/>
      <c r="H9" s="160"/>
      <c r="I9" s="160"/>
      <c r="J9" s="160"/>
      <c r="K9" s="160"/>
      <c r="L9" s="116" t="s">
        <v>69</v>
      </c>
      <c r="M9" s="122">
        <f>SUMIFS(Table_Query_from_MS_Access_Database[[#All],[HURF EXCHANGE]],Table_Query_from_MS_Access_Database[[#All],[Transaction Year]],"2026",Table_Query_from_MS_Access_Database[[#All],[Transaction Type]],"repayment Out")</f>
        <v>0</v>
      </c>
      <c r="N9" s="123">
        <f>SUMIFS(Table_Query_from_MS_Access_Database[[#All],[HSIP]],Table_Query_from_MS_Access_Database[[#All],[Transaction Year]],"2026",Table_Query_from_MS_Access_Database[[#All],[Transaction Type]],"repayment Out")</f>
        <v>0</v>
      </c>
      <c r="O9" s="123">
        <f>SUMIFS(Table_Query_from_MS_Access_Database[[#All],[PLAN]],Table_Query_from_MS_Access_Database[[#All],[Transaction Year]],"2026",Table_Query_from_MS_Access_Database[[#All],[Transaction Type]],"repayment Out")</f>
        <v>0</v>
      </c>
      <c r="P9" s="123">
        <f>SUMIFS(Table_Query_from_MS_Access_Database[[#All],[PLAN SATO]],Table_Query_from_MS_Access_Database[[#All],[Transaction Type]],"2026",Table_Query_from_MS_Access_Database[[#All],[Transaction Year]],"repayment Out")</f>
        <v>0</v>
      </c>
      <c r="Q9" s="123">
        <f>SUMIFS(Table_Query_from_MS_Access_Database[[#All],[SPR]],Table_Query_from_MS_Access_Database[[#All],[Transaction Year]],"2026",Table_Query_from_MS_Access_Database[[#All],[Transaction Type]],"repayment Out")</f>
        <v>0</v>
      </c>
      <c r="R9" s="123">
        <f>SUMIFS(Table_Query_from_MS_Access_Database[[#All],[STP &lt;5]],Table_Query_from_MS_Access_Database[[#All],[Transaction Year]],"2026",Table_Query_from_MS_Access_Database[[#All],[Transaction Type]],"repayment Out")</f>
        <v>0</v>
      </c>
      <c r="S9" s="123">
        <f>SUMIFS(Table_Query_from_MS_Access_Database[[#All],[STP 5-2]],Table_Query_from_MS_Access_Database[[#All],[Transaction Year]],"2026",Table_Query_from_MS_Access_Database[[#All],[Transaction Type]],"repayment Out")</f>
        <v>0</v>
      </c>
      <c r="T9" s="123">
        <f>SUMIFS(Table_Query_from_MS_Access_Database[[#All],[STP 5-50]],Table_Query_from_MS_Access_Database[[#All],[Transaction Year]],"2026",Table_Query_from_MS_Access_Database[[#All],[Transaction Type]],"repayment Out")</f>
        <v>0</v>
      </c>
      <c r="U9" s="123">
        <f>SUMIFS(Table_Query_from_MS_Access_Database[[#All],[STP 50-200]],Table_Query_from_MS_Access_Database[[#All],[Transaction Year]],"2026",Table_Query_from_MS_Access_Database[[#All],[Transaction Type]],"repayment Out")</f>
        <v>-104359</v>
      </c>
      <c r="V9" s="123">
        <f>SUMIFS(Table_Query_from_MS_Access_Database[[#All],[STP Flex]],Table_Query_from_MS_Access_Database[[#All],[Transaction Year]],"2026",Table_Query_from_MS_Access_Database[[#All],[Transaction Type]],"repayment Out")</f>
        <v>0</v>
      </c>
      <c r="W9" s="123">
        <f>SUMIFS(Table_Query_from_MS_Access_Database[[#All],[CRP 50-200]],Table_Query_from_MS_Access_Database[[#All],[Transaction Year]],"2026",Table_Query_from_MS_Access_Database[[#All],[Transaction Type]],"repayment Out")</f>
        <v>0</v>
      </c>
      <c r="X9" s="118">
        <f t="shared" si="0"/>
        <v>-104359</v>
      </c>
      <c r="Y9" s="134">
        <f>SUMIFS(Table_Query_from_MS_Access_Database_16[[#All],[Total]],Table_Query_from_MS_Access_Database_16[[#All],[Transaction Year]],"2026",Table_Query_from_MS_Access_Database_16[[#All],[Transaction Type]],"Repayment Out")</f>
        <v>-104359</v>
      </c>
    </row>
    <row r="10" spans="1:27">
      <c r="J10" s="25"/>
      <c r="K10" s="25"/>
      <c r="L10" s="113" t="s">
        <v>70</v>
      </c>
      <c r="M10" s="120">
        <f>SUMIFS(Table_Query_from_MS_Access_Database[[#All],[HURF EXCHANGE]],Table_Query_from_MS_Access_Database[[#All],[Transaction Year]],"2026",Table_Query_from_MS_Access_Database[[#All],[Transaction Type]],"Transfer in")</f>
        <v>0</v>
      </c>
      <c r="N10" s="121">
        <f>SUMIFS(Table_Query_from_MS_Access_Database[[#All],[HSIP]],Table_Query_from_MS_Access_Database[[#All],[Transaction Year]],"2026",Table_Query_from_MS_Access_Database[[#All],[Transaction Type]],"Transfer in")</f>
        <v>0</v>
      </c>
      <c r="O10" s="121">
        <f>SUMIFS(Table_Query_from_MS_Access_Database[[#All],[PLAN]],Table_Query_from_MS_Access_Database[[#All],[Transaction Year]],"2026",Table_Query_from_MS_Access_Database[[#All],[Transaction Type]],"Transfer in")</f>
        <v>0</v>
      </c>
      <c r="P10" s="121">
        <f>SUMIFS(Table_Query_from_MS_Access_Database[[#All],[PLAN SATO]],Table_Query_from_MS_Access_Database[[#All],[Transaction Type]],"2026",Table_Query_from_MS_Access_Database[[#All],[Transaction Year]],"Transfer in")</f>
        <v>0</v>
      </c>
      <c r="Q10" s="121">
        <f>SUMIFS(Table_Query_from_MS_Access_Database[[#All],[SPR]],Table_Query_from_MS_Access_Database[[#All],[Transaction Year]],"2026",Table_Query_from_MS_Access_Database[[#All],[Transaction Type]],"Transfer in")</f>
        <v>0</v>
      </c>
      <c r="R10" s="121">
        <f>SUMIFS(Table_Query_from_MS_Access_Database[[#All],[STP &lt;5]],Table_Query_from_MS_Access_Database[[#All],[Transaction Year]],"2026",Table_Query_from_MS_Access_Database[[#All],[Transaction Type]],"Transfer in")</f>
        <v>0</v>
      </c>
      <c r="S10" s="121">
        <f>SUMIFS(Table_Query_from_MS_Access_Database[[#All],[STP 5-2]],Table_Query_from_MS_Access_Database[[#All],[Transaction Year]],"2026",Table_Query_from_MS_Access_Database[[#All],[Transaction Type]],"Transfer in")</f>
        <v>0</v>
      </c>
      <c r="T10" s="121">
        <f>SUMIFS(Table_Query_from_MS_Access_Database[[#All],[STP 5-50]],Table_Query_from_MS_Access_Database[[#All],[Transaction Year]],"2026",Table_Query_from_MS_Access_Database[[#All],[Transaction Type]],"Transfer in")</f>
        <v>0</v>
      </c>
      <c r="U10" s="121">
        <f>SUMIFS(Table_Query_from_MS_Access_Database[[#All],[STP 50-200]],Table_Query_from_MS_Access_Database[[#All],[Transaction Year]],"2026",Table_Query_from_MS_Access_Database[[#All],[Transaction Type]],"Transfer in")</f>
        <v>0</v>
      </c>
      <c r="V10" s="121">
        <f>SUMIFS(Table_Query_from_MS_Access_Database[[#All],[STP Flex]],Table_Query_from_MS_Access_Database[[#All],[Transaction Year]],"2026",Table_Query_from_MS_Access_Database[[#All],[Transaction Type]],"Transfer in")</f>
        <v>0</v>
      </c>
      <c r="W10" s="121">
        <f>SUMIFS(Table_Query_from_MS_Access_Database[[#All],[CRP 50-200]],Table_Query_from_MS_Access_Database[[#All],[Transaction Year]],"2026",Table_Query_from_MS_Access_Database[[#All],[Transaction Type]],"Transfer in")</f>
        <v>0</v>
      </c>
      <c r="X10" s="115">
        <f t="shared" si="0"/>
        <v>0</v>
      </c>
      <c r="Y10" s="133">
        <f>SUMIFS(Table_Query_from_MS_Access_Database_16[[#All],[Total]],Table_Query_from_MS_Access_Database_16[[#All],[Transaction Year]],"2026",Table_Query_from_MS_Access_Database_16[[#All],[Transaction Type]],"Transfer In")</f>
        <v>0</v>
      </c>
    </row>
    <row r="11" spans="1:27" ht="27" customHeight="1">
      <c r="F11" s="32"/>
      <c r="G11" s="32"/>
      <c r="J11" s="25"/>
      <c r="K11" s="25"/>
      <c r="L11" s="116" t="s">
        <v>71</v>
      </c>
      <c r="M11" s="122">
        <f>SUMIFS(Table_Query_from_MS_Access_Database[[#All],[HURF EXCHANGE]],Table_Query_from_MS_Access_Database[[#All],[Transaction Year]],"2026",Table_Query_from_MS_Access_Database[[#All],[Transaction Type]],"Transfer Out")</f>
        <v>0</v>
      </c>
      <c r="N11" s="123">
        <f>SUMIFS(Table_Query_from_MS_Access_Database[[#All],[HSIP]],Table_Query_from_MS_Access_Database[[#All],[Transaction Year]],"2026",Table_Query_from_MS_Access_Database[[#All],[Transaction Type]],"Transfer Out")</f>
        <v>0</v>
      </c>
      <c r="O11" s="123">
        <f>SUMIFS(Table_Query_from_MS_Access_Database[[#All],[PLAN]],Table_Query_from_MS_Access_Database[[#All],[Transaction Year]],"2026",Table_Query_from_MS_Access_Database[[#All],[Transaction Type]],"Transfer Out")</f>
        <v>0</v>
      </c>
      <c r="P11" s="123">
        <f>SUMIFS(Table_Query_from_MS_Access_Database[[#All],[PLAN SATO]],Table_Query_from_MS_Access_Database[[#All],[Transaction Type]],"2026",Table_Query_from_MS_Access_Database[[#All],[Transaction Year]],"Transfer Out")</f>
        <v>0</v>
      </c>
      <c r="Q11" s="123">
        <f>SUMIFS(Table_Query_from_MS_Access_Database[[#All],[SPR]],Table_Query_from_MS_Access_Database[[#All],[Transaction Year]],"2026",Table_Query_from_MS_Access_Database[[#All],[Transaction Type]],"Transfer Out")</f>
        <v>0</v>
      </c>
      <c r="R11" s="123">
        <f>SUMIFS(Table_Query_from_MS_Access_Database[[#All],[STP &lt;5]],Table_Query_from_MS_Access_Database[[#All],[Transaction Year]],"2026",Table_Query_from_MS_Access_Database[[#All],[Transaction Type]],"Transfer Out")</f>
        <v>0</v>
      </c>
      <c r="S11" s="123">
        <f>SUMIFS(Table_Query_from_MS_Access_Database[[#All],[STP 5-2]],Table_Query_from_MS_Access_Database[[#All],[Transaction Year]],"2026",Table_Query_from_MS_Access_Database[[#All],[Transaction Type]],"Transfer Out")</f>
        <v>0</v>
      </c>
      <c r="T11" s="123">
        <f>SUMIFS(Table_Query_from_MS_Access_Database[[#All],[STP 5-50]],Table_Query_from_MS_Access_Database[[#All],[Transaction Year]],"2026",Table_Query_from_MS_Access_Database[[#All],[Transaction Type]],"Transfer Out")</f>
        <v>0</v>
      </c>
      <c r="U11" s="123">
        <f>SUMIFS(Table_Query_from_MS_Access_Database[[#All],[STP 50-200]],Table_Query_from_MS_Access_Database[[#All],[Transaction Year]],"2026",Table_Query_from_MS_Access_Database[[#All],[Transaction Type]],"Transfer Out")</f>
        <v>0</v>
      </c>
      <c r="V11" s="123">
        <f>SUMIFS(Table_Query_from_MS_Access_Database[[#All],[STP Flex]],Table_Query_from_MS_Access_Database[[#All],[Transaction Year]],"2026",Table_Query_from_MS_Access_Database[[#All],[Transaction Type]],"Transfer Out")</f>
        <v>0</v>
      </c>
      <c r="W11" s="123">
        <f>SUMIFS(Table_Query_from_MS_Access_Database[[#All],[CRP 50-200]],Table_Query_from_MS_Access_Database[[#All],[Transaction Year]],"2026",Table_Query_from_MS_Access_Database[[#All],[Transaction Type]],"Transfer Out")</f>
        <v>0</v>
      </c>
      <c r="X11" s="118">
        <f t="shared" si="0"/>
        <v>0</v>
      </c>
      <c r="Y11" s="134">
        <f>SUMIFS(Table_Query_from_MS_Access_Database_16[[#All],[Total]],Table_Query_from_MS_Access_Database_16[[#All],[Transaction Year]],"2026",Table_Query_from_MS_Access_Database_16[[#All],[Transaction Type]],"Transfer Out")</f>
        <v>0</v>
      </c>
    </row>
    <row r="12" spans="1:27" ht="24">
      <c r="J12" s="25"/>
      <c r="K12" s="25"/>
      <c r="L12" s="124" t="s">
        <v>132</v>
      </c>
      <c r="M12" s="125">
        <f t="shared" ref="M12" si="1">SUM(M4:M11)</f>
        <v>0</v>
      </c>
      <c r="N12" s="126">
        <f>SUM(N4:N11)</f>
        <v>0</v>
      </c>
      <c r="O12" s="126">
        <f>SUM(O4:O11)</f>
        <v>407347</v>
      </c>
      <c r="P12" s="126">
        <f>SUM(P4:P11)</f>
        <v>10444</v>
      </c>
      <c r="Q12" s="126">
        <f t="shared" ref="Q12:S12" si="2">SUM(Q4:Q11)</f>
        <v>175000</v>
      </c>
      <c r="R12" s="126">
        <f t="shared" si="2"/>
        <v>183581</v>
      </c>
      <c r="S12" s="126">
        <f t="shared" si="2"/>
        <v>0</v>
      </c>
      <c r="T12" s="126">
        <f t="shared" ref="T12:U12" si="3">SUM(T4:T11)</f>
        <v>295009</v>
      </c>
      <c r="U12" s="126">
        <f t="shared" si="3"/>
        <v>587458</v>
      </c>
      <c r="V12" s="126">
        <f>SUM(V4:V11)</f>
        <v>0</v>
      </c>
      <c r="W12" s="126">
        <f>SUM(W4:W11)</f>
        <v>1299013</v>
      </c>
      <c r="X12" s="126">
        <f>SUM(X4:X11)</f>
        <v>2957852</v>
      </c>
      <c r="Y12" s="135">
        <f>SUM(Y4:Y11)</f>
        <v>2629771.79</v>
      </c>
      <c r="AA12" s="27"/>
    </row>
    <row r="13" spans="1:27">
      <c r="J13" s="25"/>
      <c r="K13" s="25"/>
      <c r="L13" s="25"/>
      <c r="M13" s="25"/>
      <c r="N13" s="33"/>
      <c r="O13" s="34"/>
      <c r="P13" s="34"/>
      <c r="Q13" s="34"/>
      <c r="R13" s="34"/>
      <c r="S13" s="34"/>
      <c r="T13" s="30"/>
      <c r="AA13" s="27"/>
    </row>
    <row r="14" spans="1:27" ht="15.75" customHeight="1">
      <c r="A14" s="205" t="s">
        <v>59</v>
      </c>
      <c r="B14" s="205"/>
      <c r="C14" s="205"/>
      <c r="D14" s="205"/>
      <c r="I14" s="207" t="s">
        <v>60</v>
      </c>
      <c r="J14" s="208"/>
      <c r="K14" s="208"/>
      <c r="L14" s="209"/>
      <c r="M14" s="153"/>
      <c r="N14" s="35"/>
      <c r="R14" s="30"/>
      <c r="S14" s="30"/>
      <c r="T14" s="30"/>
      <c r="AA14" s="183"/>
    </row>
    <row r="15" spans="1:27" ht="27" customHeight="1">
      <c r="A15" s="89" t="s">
        <v>1</v>
      </c>
      <c r="B15" s="89" t="s">
        <v>0</v>
      </c>
      <c r="C15" s="89" t="s">
        <v>3</v>
      </c>
      <c r="D15" s="89" t="s">
        <v>80</v>
      </c>
      <c r="E15" s="89" t="s">
        <v>2</v>
      </c>
      <c r="F15" s="89" t="s">
        <v>45</v>
      </c>
      <c r="G15" s="89" t="s">
        <v>46</v>
      </c>
      <c r="H15" s="89" t="s">
        <v>47</v>
      </c>
      <c r="I15" s="58" t="s">
        <v>48</v>
      </c>
      <c r="J15" s="89" t="s">
        <v>49</v>
      </c>
      <c r="K15" s="58" t="s">
        <v>50</v>
      </c>
      <c r="L15" s="58" t="s">
        <v>51</v>
      </c>
      <c r="M15" s="89" t="s">
        <v>137</v>
      </c>
      <c r="N15" s="89" t="s">
        <v>4</v>
      </c>
      <c r="O15" s="89" t="s">
        <v>41</v>
      </c>
      <c r="P15" s="89" t="s">
        <v>185</v>
      </c>
      <c r="Q15" s="89" t="s">
        <v>5</v>
      </c>
      <c r="R15" s="58" t="s">
        <v>123</v>
      </c>
      <c r="S15" s="58" t="s">
        <v>139</v>
      </c>
      <c r="T15" s="58" t="s">
        <v>186</v>
      </c>
      <c r="U15" s="58" t="s">
        <v>187</v>
      </c>
      <c r="V15" s="58" t="s">
        <v>52</v>
      </c>
      <c r="W15" s="147" t="s">
        <v>188</v>
      </c>
      <c r="X15" s="156" t="s">
        <v>81</v>
      </c>
      <c r="Y15" s="156" t="s">
        <v>190</v>
      </c>
      <c r="AA15" s="183"/>
    </row>
    <row r="16" spans="1:27" s="38" customFormat="1" ht="27" customHeight="1">
      <c r="A16" s="38" t="s">
        <v>227</v>
      </c>
      <c r="B16" s="103" t="s">
        <v>205</v>
      </c>
      <c r="C16" s="38" t="s">
        <v>88</v>
      </c>
      <c r="D16" s="38" t="s">
        <v>23</v>
      </c>
      <c r="E16" s="98" t="s">
        <v>228</v>
      </c>
      <c r="F16" s="91" t="s">
        <v>124</v>
      </c>
      <c r="G16" s="91" t="s">
        <v>125</v>
      </c>
      <c r="H16" s="91" t="s">
        <v>229</v>
      </c>
      <c r="I16" s="88">
        <v>45931</v>
      </c>
      <c r="J16" s="88">
        <v>45931</v>
      </c>
      <c r="K16" s="88"/>
      <c r="L16" s="88">
        <v>45931</v>
      </c>
      <c r="M16" s="136"/>
      <c r="N16" s="98"/>
      <c r="O16" s="98"/>
      <c r="P16" s="98"/>
      <c r="Q16" s="98">
        <v>131250</v>
      </c>
      <c r="R16" s="98"/>
      <c r="S16" s="68"/>
      <c r="T16" s="68"/>
      <c r="U16" s="68"/>
      <c r="V16" s="68"/>
      <c r="W16" s="146"/>
      <c r="X16" s="157">
        <f>SUM(Table_Query_from_MS_Access_Database8[[#This Row],[HURF EX]:[CRP 50-200]])</f>
        <v>131250</v>
      </c>
      <c r="Y16" s="157">
        <f ca="1">IF(ISTEXT(INDIRECT(ADDRESS(ROW()-1,COLUMN()))), INDIRECT(ADDRESS(12,COLUMN())),INDIRECT(ADDRESS(ROW()-1,COLUMN())))-Table_Query_from_MS_Access_Database8[[#This Row],[TOTAL OF AMOUNT]]</f>
        <v>2498521.79</v>
      </c>
    </row>
    <row r="17" spans="1:25" s="38" customFormat="1" ht="13.5" customHeight="1">
      <c r="A17" s="38" t="s">
        <v>244</v>
      </c>
      <c r="B17" s="103" t="s">
        <v>205</v>
      </c>
      <c r="C17" s="38" t="s">
        <v>88</v>
      </c>
      <c r="D17" s="38" t="s">
        <v>22</v>
      </c>
      <c r="E17" s="98" t="s">
        <v>245</v>
      </c>
      <c r="F17" s="91" t="s">
        <v>124</v>
      </c>
      <c r="G17" s="91" t="s">
        <v>126</v>
      </c>
      <c r="H17" s="91" t="s">
        <v>229</v>
      </c>
      <c r="I17" s="88">
        <v>45931</v>
      </c>
      <c r="J17" s="88">
        <v>45952</v>
      </c>
      <c r="K17" s="88">
        <v>45964</v>
      </c>
      <c r="L17" s="88">
        <v>45964</v>
      </c>
      <c r="M17" s="98"/>
      <c r="N17" s="98"/>
      <c r="O17" s="98">
        <v>407346</v>
      </c>
      <c r="P17" s="98"/>
      <c r="Q17" s="98"/>
      <c r="R17" s="98"/>
      <c r="S17" s="68"/>
      <c r="T17" s="68"/>
      <c r="U17" s="68"/>
      <c r="V17" s="68"/>
      <c r="W17" s="170"/>
      <c r="X17" s="157">
        <f>SUM(Table_Query_from_MS_Access_Database8[[#This Row],[HURF EX]:[CRP 50-200]])</f>
        <v>407346</v>
      </c>
      <c r="Y17" s="157">
        <f ca="1">IF(ISTEXT(INDIRECT(ADDRESS(ROW()-1,COLUMN()))), INDIRECT(ADDRESS(12,COLUMN())),INDIRECT(ADDRESS(ROW()-1,COLUMN())))-Table_Query_from_MS_Access_Database8[[#This Row],[TOTAL OF AMOUNT]]</f>
        <v>2091175.79</v>
      </c>
    </row>
    <row r="18" spans="1:25" s="38" customFormat="1" ht="13.5" customHeight="1">
      <c r="A18" s="38" t="s">
        <v>286</v>
      </c>
      <c r="B18" s="103" t="s">
        <v>205</v>
      </c>
      <c r="C18" s="38" t="s">
        <v>88</v>
      </c>
      <c r="D18" s="38" t="s">
        <v>8</v>
      </c>
      <c r="E18" s="98" t="s">
        <v>287</v>
      </c>
      <c r="F18" s="91" t="s">
        <v>124</v>
      </c>
      <c r="G18" s="91" t="s">
        <v>125</v>
      </c>
      <c r="H18" s="91" t="s">
        <v>288</v>
      </c>
      <c r="I18" s="88"/>
      <c r="J18" s="88">
        <v>45959</v>
      </c>
      <c r="K18" s="88">
        <v>45965</v>
      </c>
      <c r="L18" s="88">
        <v>45965</v>
      </c>
      <c r="M18" s="98"/>
      <c r="N18" s="98"/>
      <c r="O18" s="98"/>
      <c r="P18" s="98"/>
      <c r="Q18" s="98">
        <v>-44045.21</v>
      </c>
      <c r="R18" s="98"/>
      <c r="S18" s="68"/>
      <c r="T18" s="68"/>
      <c r="U18" s="68"/>
      <c r="V18" s="68"/>
      <c r="W18" s="170"/>
      <c r="X18" s="157">
        <f>SUM(Table_Query_from_MS_Access_Database8[[#This Row],[HURF EX]:[CRP 50-200]])</f>
        <v>-44045.21</v>
      </c>
      <c r="Y18" s="157">
        <f ca="1">IF(ISTEXT(INDIRECT(ADDRESS(ROW()-1,COLUMN()))), INDIRECT(ADDRESS(12,COLUMN())),INDIRECT(ADDRESS(ROW()-1,COLUMN())))-Table_Query_from_MS_Access_Database8[[#This Row],[TOTAL OF AMOUNT]]</f>
        <v>2135221</v>
      </c>
    </row>
    <row r="19" spans="1:25" s="38" customFormat="1" ht="13.5" customHeight="1">
      <c r="A19" s="38" t="s">
        <v>227</v>
      </c>
      <c r="B19" s="103" t="s">
        <v>205</v>
      </c>
      <c r="C19" s="38" t="s">
        <v>88</v>
      </c>
      <c r="D19" s="38" t="s">
        <v>8</v>
      </c>
      <c r="E19" s="98" t="s">
        <v>228</v>
      </c>
      <c r="F19" s="91" t="s">
        <v>124</v>
      </c>
      <c r="G19" s="91" t="s">
        <v>125</v>
      </c>
      <c r="H19" s="91" t="s">
        <v>229</v>
      </c>
      <c r="I19" s="88"/>
      <c r="J19" s="88">
        <v>45959</v>
      </c>
      <c r="K19" s="88">
        <v>45965</v>
      </c>
      <c r="L19" s="88">
        <v>45971</v>
      </c>
      <c r="M19" s="98"/>
      <c r="N19" s="98"/>
      <c r="O19" s="98"/>
      <c r="P19" s="98"/>
      <c r="Q19" s="98">
        <v>44045.21</v>
      </c>
      <c r="R19" s="98"/>
      <c r="S19" s="68"/>
      <c r="T19" s="68"/>
      <c r="U19" s="68"/>
      <c r="V19" s="68"/>
      <c r="W19" s="170"/>
      <c r="X19" s="157">
        <f>SUM(Table_Query_from_MS_Access_Database8[[#This Row],[HURF EX]:[CRP 50-200]])</f>
        <v>44045.21</v>
      </c>
      <c r="Y19" s="157">
        <f ca="1">IF(ISTEXT(INDIRECT(ADDRESS(ROW()-1,COLUMN()))), INDIRECT(ADDRESS(12,COLUMN())),INDIRECT(ADDRESS(ROW()-1,COLUMN())))-Table_Query_from_MS_Access_Database8[[#This Row],[TOTAL OF AMOUNT]]</f>
        <v>2091175.79</v>
      </c>
    </row>
    <row r="20" spans="1:25" s="38" customFormat="1" ht="13.5" customHeight="1">
      <c r="A20" s="38" t="s">
        <v>244</v>
      </c>
      <c r="B20" s="103" t="s">
        <v>205</v>
      </c>
      <c r="C20" s="38" t="s">
        <v>88</v>
      </c>
      <c r="D20" s="38" t="s">
        <v>8</v>
      </c>
      <c r="E20" s="98" t="s">
        <v>245</v>
      </c>
      <c r="F20" s="91" t="s">
        <v>124</v>
      </c>
      <c r="G20" s="91" t="s">
        <v>126</v>
      </c>
      <c r="H20" s="91" t="s">
        <v>229</v>
      </c>
      <c r="I20" s="88"/>
      <c r="J20" s="88">
        <v>46001</v>
      </c>
      <c r="K20" s="88">
        <v>46007</v>
      </c>
      <c r="L20" s="88">
        <v>46008</v>
      </c>
      <c r="M20" s="98"/>
      <c r="N20" s="98"/>
      <c r="O20" s="98">
        <v>73278.990000000005</v>
      </c>
      <c r="P20" s="98"/>
      <c r="Q20" s="98"/>
      <c r="R20" s="98"/>
      <c r="S20" s="68"/>
      <c r="T20" s="68"/>
      <c r="U20" s="68"/>
      <c r="V20" s="68"/>
      <c r="W20" s="170"/>
      <c r="X20" s="157">
        <f>SUM(Table_Query_from_MS_Access_Database8[[#This Row],[HURF EX]:[CRP 50-200]])</f>
        <v>73278.990000000005</v>
      </c>
      <c r="Y20" s="157">
        <f ca="1">IF(ISTEXT(INDIRECT(ADDRESS(ROW()-1,COLUMN()))), INDIRECT(ADDRESS(12,COLUMN())),INDIRECT(ADDRESS(ROW()-1,COLUMN())))-Table_Query_from_MS_Access_Database8[[#This Row],[TOTAL OF AMOUNT]]</f>
        <v>2017896.8</v>
      </c>
    </row>
    <row r="21" spans="1:25" s="38" customFormat="1" ht="13.5" customHeight="1">
      <c r="A21" s="38" t="s">
        <v>295</v>
      </c>
      <c r="B21" s="103" t="s">
        <v>271</v>
      </c>
      <c r="C21" s="38" t="s">
        <v>88</v>
      </c>
      <c r="D21" s="38" t="s">
        <v>8</v>
      </c>
      <c r="E21" s="98" t="s">
        <v>296</v>
      </c>
      <c r="F21" s="91" t="s">
        <v>124</v>
      </c>
      <c r="G21" s="91" t="s">
        <v>126</v>
      </c>
      <c r="H21" s="91" t="s">
        <v>288</v>
      </c>
      <c r="I21" s="88"/>
      <c r="J21" s="88">
        <v>46001</v>
      </c>
      <c r="K21" s="88">
        <v>46007</v>
      </c>
      <c r="L21" s="88">
        <v>46008</v>
      </c>
      <c r="M21" s="98"/>
      <c r="N21" s="98"/>
      <c r="O21" s="98">
        <v>-73278.990000000005</v>
      </c>
      <c r="P21" s="98"/>
      <c r="Q21" s="98"/>
      <c r="R21" s="98"/>
      <c r="S21" s="68"/>
      <c r="T21" s="68"/>
      <c r="U21" s="68"/>
      <c r="V21" s="68"/>
      <c r="W21" s="170"/>
      <c r="X21" s="157">
        <f>SUM(Table_Query_from_MS_Access_Database8[[#This Row],[HURF EX]:[CRP 50-200]])</f>
        <v>-73278.990000000005</v>
      </c>
      <c r="Y21" s="157">
        <f ca="1">IF(ISTEXT(INDIRECT(ADDRESS(ROW()-1,COLUMN()))), INDIRECT(ADDRESS(12,COLUMN())),INDIRECT(ADDRESS(ROW()-1,COLUMN())))-Table_Query_from_MS_Access_Database8[[#This Row],[TOTAL OF AMOUNT]]</f>
        <v>2091175.79</v>
      </c>
    </row>
    <row r="22" spans="1:25" s="38" customFormat="1" ht="13.5" hidden="1" customHeight="1">
      <c r="B22" s="103"/>
      <c r="E22" s="98"/>
      <c r="F22" s="91"/>
      <c r="G22" s="91"/>
      <c r="H22" s="91"/>
      <c r="I22" s="88"/>
      <c r="J22" s="88"/>
      <c r="K22" s="88"/>
      <c r="L22" s="88"/>
      <c r="M22" s="98"/>
      <c r="N22" s="98"/>
      <c r="O22" s="98"/>
      <c r="P22" s="98"/>
      <c r="Q22" s="98"/>
      <c r="R22" s="98"/>
      <c r="S22" s="68"/>
      <c r="T22" s="68"/>
      <c r="U22" s="68"/>
      <c r="V22" s="68"/>
      <c r="W22" s="170"/>
      <c r="X22" s="157"/>
      <c r="Y22" s="157"/>
    </row>
    <row r="23" spans="1:25" s="38" customFormat="1" ht="13.5" hidden="1" customHeight="1">
      <c r="B23" s="103"/>
      <c r="E23" s="98"/>
      <c r="F23" s="91"/>
      <c r="G23" s="91"/>
      <c r="H23" s="91"/>
      <c r="I23" s="88"/>
      <c r="J23" s="88"/>
      <c r="K23" s="88"/>
      <c r="L23" s="88"/>
      <c r="M23" s="98"/>
      <c r="N23" s="98"/>
      <c r="O23" s="98"/>
      <c r="P23" s="98"/>
      <c r="Q23" s="98"/>
      <c r="R23" s="98"/>
      <c r="S23" s="68"/>
      <c r="T23" s="68"/>
      <c r="U23" s="68"/>
      <c r="V23" s="68"/>
      <c r="W23" s="170"/>
      <c r="X23" s="157"/>
      <c r="Y23" s="157"/>
    </row>
    <row r="24" spans="1:25" s="38" customFormat="1" ht="13.5" hidden="1" customHeight="1">
      <c r="B24" s="103"/>
      <c r="E24" s="98"/>
      <c r="F24" s="91"/>
      <c r="G24" s="91"/>
      <c r="H24" s="91"/>
      <c r="I24" s="88"/>
      <c r="J24" s="88"/>
      <c r="K24" s="88"/>
      <c r="L24" s="88"/>
      <c r="M24" s="98"/>
      <c r="N24" s="98"/>
      <c r="O24" s="98"/>
      <c r="P24" s="98"/>
      <c r="Q24" s="98"/>
      <c r="R24" s="98"/>
      <c r="S24" s="68"/>
      <c r="T24" s="68"/>
      <c r="U24" s="68"/>
      <c r="V24" s="68"/>
      <c r="W24" s="170"/>
      <c r="X24" s="157"/>
      <c r="Y24" s="157"/>
    </row>
    <row r="25" spans="1:25" s="38" customFormat="1" ht="13.5" hidden="1" customHeight="1">
      <c r="B25" s="103"/>
      <c r="E25" s="98"/>
      <c r="F25" s="91"/>
      <c r="G25" s="91"/>
      <c r="H25" s="91"/>
      <c r="I25" s="88"/>
      <c r="J25" s="88"/>
      <c r="K25" s="88"/>
      <c r="L25" s="88"/>
      <c r="M25" s="98"/>
      <c r="N25" s="98"/>
      <c r="O25" s="98"/>
      <c r="P25" s="98"/>
      <c r="Q25" s="98"/>
      <c r="R25" s="98"/>
      <c r="S25" s="68"/>
      <c r="T25" s="68"/>
      <c r="U25" s="68"/>
      <c r="V25" s="68"/>
      <c r="W25" s="170"/>
      <c r="X25" s="157"/>
      <c r="Y25" s="157"/>
    </row>
    <row r="26" spans="1:25" s="38" customFormat="1" ht="13.5" hidden="1" customHeight="1">
      <c r="B26" s="103"/>
      <c r="E26" s="98"/>
      <c r="F26" s="91"/>
      <c r="G26" s="91"/>
      <c r="H26" s="91"/>
      <c r="I26" s="88"/>
      <c r="J26" s="88"/>
      <c r="K26" s="88"/>
      <c r="L26" s="88"/>
      <c r="M26" s="98"/>
      <c r="N26" s="98"/>
      <c r="O26" s="98"/>
      <c r="P26" s="98"/>
      <c r="Q26" s="98"/>
      <c r="R26" s="98"/>
      <c r="S26" s="68"/>
      <c r="T26" s="68"/>
      <c r="U26" s="68"/>
      <c r="V26" s="68"/>
      <c r="W26" s="170"/>
      <c r="X26" s="157"/>
      <c r="Y26" s="157"/>
    </row>
    <row r="27" spans="1:25" s="38" customFormat="1" ht="13.5" hidden="1" customHeight="1">
      <c r="B27" s="103"/>
      <c r="E27" s="98"/>
      <c r="F27" s="91"/>
      <c r="G27" s="91"/>
      <c r="H27" s="91"/>
      <c r="I27" s="88"/>
      <c r="J27" s="88"/>
      <c r="K27" s="88"/>
      <c r="L27" s="88"/>
      <c r="M27" s="98"/>
      <c r="N27" s="98"/>
      <c r="O27" s="98"/>
      <c r="P27" s="98"/>
      <c r="Q27" s="98"/>
      <c r="R27" s="98"/>
      <c r="S27" s="68"/>
      <c r="T27" s="68"/>
      <c r="U27" s="68"/>
      <c r="V27" s="68"/>
      <c r="W27" s="170"/>
      <c r="X27" s="157"/>
      <c r="Y27" s="157"/>
    </row>
    <row r="28" spans="1:25">
      <c r="A28" s="38"/>
      <c r="B28" s="38"/>
      <c r="C28" s="38"/>
      <c r="D28" s="38"/>
      <c r="E28" s="36"/>
      <c r="F28" s="36"/>
      <c r="G28" s="36"/>
      <c r="H28" s="36"/>
      <c r="I28" s="36"/>
      <c r="J28" s="36"/>
      <c r="K28" s="36"/>
      <c r="L28" s="159" t="s">
        <v>73</v>
      </c>
      <c r="M28" s="164">
        <f>SUM(Table_Query_from_MS_Access_Database8[[#All],[HURF EX]])</f>
        <v>0</v>
      </c>
      <c r="N28" s="164">
        <f>SUM(Table_Query_from_MS_Access_Database8[[#All],[HSIP]])</f>
        <v>0</v>
      </c>
      <c r="O28" s="164">
        <f>SUM(Table_Query_from_MS_Access_Database8[[#All],[PL]])</f>
        <v>407346</v>
      </c>
      <c r="P28" s="164">
        <f>SUM(Table_Query_from_MS_Access_Database8[[#All],[PL-SATO]])</f>
        <v>0</v>
      </c>
      <c r="Q28" s="164">
        <f>SUM(Table_Query_from_MS_Access_Database8[[#All],[SPR]])</f>
        <v>131250</v>
      </c>
      <c r="R28" s="164">
        <f>SUM(Table_Query_from_MS_Access_Database8[[#All],[STP &lt;5]])</f>
        <v>0</v>
      </c>
      <c r="S28" s="164">
        <f>SUM(Table_Query_from_MS_Access_Database8[[#All],[STP 5-200]])</f>
        <v>0</v>
      </c>
      <c r="T28" s="164">
        <f>SUM(Table_Query_from_MS_Access_Database8[[#All],[STP 5-50]])</f>
        <v>0</v>
      </c>
      <c r="U28" s="164">
        <f>SUM(Table_Query_from_MS_Access_Database8[[#All],[STP 50-200]])</f>
        <v>0</v>
      </c>
      <c r="V28" s="164">
        <f>SUM(Table_Query_from_MS_Access_Database8[[#All],[STP OTHER]])</f>
        <v>0</v>
      </c>
      <c r="W28" s="164">
        <f>SUM(Table_Query_from_MS_Access_Database8[[#All],[CRP 50-200]])</f>
        <v>0</v>
      </c>
      <c r="X28" s="164">
        <f>SUM(Table_Query_from_MS_Access_Database8[[#All],[TOTAL OF AMOUNT]])</f>
        <v>538596</v>
      </c>
    </row>
    <row r="29" spans="1:25" s="38" customFormat="1" ht="24">
      <c r="A29" s="64"/>
      <c r="B29" s="64"/>
      <c r="C29" s="64"/>
      <c r="D29" s="64"/>
      <c r="E29" s="36"/>
      <c r="F29" s="36"/>
      <c r="G29" s="36"/>
      <c r="H29" s="36"/>
      <c r="I29" s="36"/>
      <c r="J29" s="36"/>
      <c r="K29" s="36"/>
      <c r="L29" s="159" t="s">
        <v>72</v>
      </c>
      <c r="M29" s="99">
        <f t="shared" ref="M29:X29" si="4">+M12-M28</f>
        <v>0</v>
      </c>
      <c r="N29" s="99">
        <f t="shared" si="4"/>
        <v>0</v>
      </c>
      <c r="O29" s="99">
        <f t="shared" si="4"/>
        <v>1</v>
      </c>
      <c r="P29" s="99">
        <f t="shared" si="4"/>
        <v>10444</v>
      </c>
      <c r="Q29" s="99">
        <f t="shared" si="4"/>
        <v>43750</v>
      </c>
      <c r="R29" s="99">
        <f t="shared" si="4"/>
        <v>183581</v>
      </c>
      <c r="S29" s="99">
        <f t="shared" si="4"/>
        <v>0</v>
      </c>
      <c r="T29" s="99">
        <f t="shared" si="4"/>
        <v>295009</v>
      </c>
      <c r="U29" s="99">
        <f t="shared" si="4"/>
        <v>587458</v>
      </c>
      <c r="V29" s="99">
        <f t="shared" si="4"/>
        <v>0</v>
      </c>
      <c r="W29" s="99">
        <f t="shared" si="4"/>
        <v>1299013</v>
      </c>
      <c r="X29" s="99">
        <f t="shared" si="4"/>
        <v>2419256</v>
      </c>
    </row>
    <row r="30" spans="1:25" s="38" customFormat="1" ht="13.2">
      <c r="A30" s="40"/>
      <c r="B30" s="40"/>
      <c r="C30" s="40"/>
      <c r="D30" s="40"/>
      <c r="E30" s="37"/>
      <c r="F30" s="37"/>
      <c r="G30" s="37"/>
      <c r="H30" s="37"/>
      <c r="I30" s="37"/>
      <c r="J30" s="37"/>
      <c r="K30" s="37"/>
      <c r="L30" s="37"/>
      <c r="M30" s="40"/>
      <c r="N30" s="40"/>
      <c r="O30" s="40"/>
      <c r="P30" s="40"/>
      <c r="Q30" s="40"/>
      <c r="R30" s="40"/>
      <c r="S30" s="30"/>
      <c r="V30" s="43"/>
    </row>
    <row r="31" spans="1:25" ht="15.6">
      <c r="A31" s="205" t="s">
        <v>34</v>
      </c>
      <c r="B31" s="205"/>
      <c r="C31" s="205"/>
      <c r="D31" s="205"/>
      <c r="E31" s="39"/>
      <c r="F31" s="39"/>
      <c r="G31" s="40"/>
      <c r="H31" s="40"/>
      <c r="I31" s="40"/>
      <c r="J31" s="42"/>
      <c r="K31" s="41"/>
      <c r="L31" s="41"/>
      <c r="M31" s="41"/>
      <c r="N31" s="41"/>
      <c r="O31" s="30"/>
      <c r="P31" s="30"/>
      <c r="Q31" s="37"/>
      <c r="R31" s="37"/>
      <c r="S31" s="30"/>
      <c r="T31" s="38"/>
      <c r="U31" s="38"/>
      <c r="V31" s="43"/>
    </row>
    <row r="32" spans="1:25" ht="33.75" customHeight="1">
      <c r="A32" s="58" t="s">
        <v>1</v>
      </c>
      <c r="B32" s="58" t="s">
        <v>0</v>
      </c>
      <c r="C32" s="58" t="s">
        <v>3</v>
      </c>
      <c r="D32" s="58" t="s">
        <v>80</v>
      </c>
      <c r="E32" s="58" t="s">
        <v>2</v>
      </c>
      <c r="F32" s="58" t="s">
        <v>45</v>
      </c>
      <c r="G32" s="58" t="s">
        <v>46</v>
      </c>
      <c r="H32" s="58" t="s">
        <v>47</v>
      </c>
      <c r="I32" s="58" t="s">
        <v>48</v>
      </c>
      <c r="J32" s="89" t="s">
        <v>49</v>
      </c>
      <c r="K32" s="58" t="s">
        <v>50</v>
      </c>
      <c r="L32" s="58" t="s">
        <v>51</v>
      </c>
      <c r="M32" s="58" t="s">
        <v>137</v>
      </c>
      <c r="N32" s="58" t="s">
        <v>4</v>
      </c>
      <c r="O32" s="58" t="s">
        <v>41</v>
      </c>
      <c r="P32" s="58" t="s">
        <v>185</v>
      </c>
      <c r="Q32" s="58" t="s">
        <v>5</v>
      </c>
      <c r="R32" s="58" t="s">
        <v>123</v>
      </c>
      <c r="S32" s="58" t="s">
        <v>139</v>
      </c>
      <c r="T32" s="58" t="s">
        <v>186</v>
      </c>
      <c r="U32" s="58" t="s">
        <v>187</v>
      </c>
      <c r="V32" s="58" t="s">
        <v>52</v>
      </c>
      <c r="W32" s="151" t="s">
        <v>188</v>
      </c>
      <c r="X32" s="58" t="s">
        <v>81</v>
      </c>
      <c r="Y32" s="58" t="s">
        <v>190</v>
      </c>
    </row>
    <row r="33" spans="1:25" ht="16.5" customHeight="1">
      <c r="A33" s="139" t="s">
        <v>227</v>
      </c>
      <c r="B33" s="38" t="s">
        <v>205</v>
      </c>
      <c r="C33" s="38" t="s">
        <v>88</v>
      </c>
      <c r="D33" s="38" t="s">
        <v>22</v>
      </c>
      <c r="E33" s="57" t="s">
        <v>228</v>
      </c>
      <c r="F33" s="90" t="s">
        <v>124</v>
      </c>
      <c r="G33" s="91" t="s">
        <v>125</v>
      </c>
      <c r="H33" s="91" t="s">
        <v>229</v>
      </c>
      <c r="I33" s="88">
        <v>46174</v>
      </c>
      <c r="J33" s="88"/>
      <c r="K33" s="97"/>
      <c r="L33" s="97"/>
      <c r="M33" s="98"/>
      <c r="N33" s="98"/>
      <c r="O33" s="98"/>
      <c r="P33" s="98"/>
      <c r="Q33" s="98">
        <v>43750</v>
      </c>
      <c r="R33" s="98"/>
      <c r="S33" s="68"/>
      <c r="T33" s="68"/>
      <c r="U33" s="68"/>
      <c r="V33" s="68"/>
      <c r="W33" s="150"/>
      <c r="X33" s="163">
        <f>SUM(Table_Query_from_MS_Access_Database_1[[#This Row],[HURF EX]:[CRP 50-200]])</f>
        <v>43750</v>
      </c>
      <c r="Y33" s="43">
        <f ca="1">IF(ISTEXT(INDIRECT(ADDRESS(ROW()-1,COLUMN()))),INDIRECT(ADDRESS(12,COLUMN()))-SUM(Table_Query_from_MS_Access_Database8[TOTAL OF AMOUNT]),INDIRECT(ADDRESS(ROW()-1,COLUMN())))-Table_Query_from_MS_Access_Database_1[[#This Row],[TOTAL OF AMOUNT]]</f>
        <v>2047425.79</v>
      </c>
    </row>
    <row r="34" spans="1:25" ht="16.5" customHeight="1">
      <c r="A34" s="38" t="s">
        <v>230</v>
      </c>
      <c r="B34" s="38" t="s">
        <v>205</v>
      </c>
      <c r="C34" s="38" t="s">
        <v>88</v>
      </c>
      <c r="D34" s="38" t="s">
        <v>22</v>
      </c>
      <c r="E34" s="57" t="s">
        <v>231</v>
      </c>
      <c r="F34" s="90" t="s">
        <v>124</v>
      </c>
      <c r="G34" s="91" t="s">
        <v>126</v>
      </c>
      <c r="H34" s="91" t="s">
        <v>229</v>
      </c>
      <c r="I34" s="88">
        <v>46174</v>
      </c>
      <c r="J34" s="88"/>
      <c r="K34" s="97"/>
      <c r="L34" s="97"/>
      <c r="M34" s="98"/>
      <c r="N34" s="98"/>
      <c r="O34" s="98"/>
      <c r="P34" s="98">
        <v>10445</v>
      </c>
      <c r="Q34" s="98"/>
      <c r="R34" s="98"/>
      <c r="S34" s="68"/>
      <c r="T34" s="68"/>
      <c r="U34" s="68"/>
      <c r="V34" s="68"/>
      <c r="W34" s="43"/>
      <c r="X34" s="163">
        <f>SUM(Table_Query_from_MS_Access_Database_1[[#This Row],[HURF EX]:[CRP 50-200]])</f>
        <v>10445</v>
      </c>
      <c r="Y34" s="43">
        <f ca="1">IF(ISTEXT(INDIRECT(ADDRESS(ROW()-1,COLUMN()))),INDIRECT(ADDRESS(12,COLUMN()))-SUM(Table_Query_from_MS_Access_Database8[TOTAL OF AMOUNT]),INDIRECT(ADDRESS(ROW()-1,COLUMN())))-Table_Query_from_MS_Access_Database_1[[#This Row],[TOTAL OF AMOUNT]]</f>
        <v>2036980.79</v>
      </c>
    </row>
    <row r="35" spans="1:25" ht="16.5" customHeight="1">
      <c r="A35" s="139" t="s">
        <v>270</v>
      </c>
      <c r="B35" s="38" t="s">
        <v>271</v>
      </c>
      <c r="C35" s="38" t="s">
        <v>272</v>
      </c>
      <c r="D35" s="38" t="s">
        <v>7</v>
      </c>
      <c r="E35" s="57" t="s">
        <v>273</v>
      </c>
      <c r="F35" s="90" t="s">
        <v>274</v>
      </c>
      <c r="G35" s="91" t="s">
        <v>119</v>
      </c>
      <c r="H35" s="91" t="s">
        <v>155</v>
      </c>
      <c r="I35" s="88">
        <v>46174</v>
      </c>
      <c r="J35" s="88"/>
      <c r="K35" s="97"/>
      <c r="L35" s="97"/>
      <c r="M35" s="98"/>
      <c r="N35" s="98"/>
      <c r="O35" s="98"/>
      <c r="P35" s="98"/>
      <c r="Q35" s="98"/>
      <c r="R35" s="98"/>
      <c r="S35" s="68"/>
      <c r="T35" s="68">
        <v>5000</v>
      </c>
      <c r="U35" s="68"/>
      <c r="V35" s="68"/>
      <c r="W35" s="150"/>
      <c r="X35" s="163">
        <f>SUM(Table_Query_from_MS_Access_Database_1[[#This Row],[HURF EX]:[CRP 50-200]])</f>
        <v>5000</v>
      </c>
      <c r="Y35" s="43">
        <f ca="1">IF(ISTEXT(INDIRECT(ADDRESS(ROW()-1,COLUMN()))),INDIRECT(ADDRESS(12,COLUMN()))-SUM(Table_Query_from_MS_Access_Database8[TOTAL OF AMOUNT]),INDIRECT(ADDRESS(ROW()-1,COLUMN())))-Table_Query_from_MS_Access_Database_1[[#This Row],[TOTAL OF AMOUNT]]</f>
        <v>2031980.79</v>
      </c>
    </row>
    <row r="36" spans="1:25" ht="16.5" customHeight="1">
      <c r="A36" s="38" t="s">
        <v>297</v>
      </c>
      <c r="B36" s="38" t="s">
        <v>298</v>
      </c>
      <c r="C36" s="38" t="s">
        <v>294</v>
      </c>
      <c r="D36" s="38" t="s">
        <v>7</v>
      </c>
      <c r="E36" s="57" t="s">
        <v>299</v>
      </c>
      <c r="F36" s="90" t="s">
        <v>300</v>
      </c>
      <c r="G36" s="91" t="s">
        <v>119</v>
      </c>
      <c r="H36" s="91" t="s">
        <v>301</v>
      </c>
      <c r="I36" s="88">
        <v>45962</v>
      </c>
      <c r="J36" s="88">
        <v>46008</v>
      </c>
      <c r="K36" s="97">
        <v>46010</v>
      </c>
      <c r="L36" s="97"/>
      <c r="M36" s="98"/>
      <c r="N36" s="98"/>
      <c r="O36" s="98"/>
      <c r="P36" s="98"/>
      <c r="Q36" s="98"/>
      <c r="R36" s="98"/>
      <c r="S36" s="68"/>
      <c r="T36" s="68"/>
      <c r="U36" s="68">
        <v>105146</v>
      </c>
      <c r="V36" s="68"/>
      <c r="W36" s="43">
        <v>574667</v>
      </c>
      <c r="X36" s="163">
        <f>SUM(Table_Query_from_MS_Access_Database_1[[#This Row],[HURF EX]:[CRP 50-200]])</f>
        <v>679813</v>
      </c>
      <c r="Y36" s="43">
        <f ca="1">IF(ISTEXT(INDIRECT(ADDRESS(ROW()-1,COLUMN()))),INDIRECT(ADDRESS(12,COLUMN()))-SUM(Table_Query_from_MS_Access_Database8[TOTAL OF AMOUNT]),INDIRECT(ADDRESS(ROW()-1,COLUMN())))-Table_Query_from_MS_Access_Database_1[[#This Row],[TOTAL OF AMOUNT]]</f>
        <v>1352167.79</v>
      </c>
    </row>
    <row r="37" spans="1:25" ht="15.6" customHeight="1">
      <c r="A37" s="38" t="s">
        <v>246</v>
      </c>
      <c r="B37" s="38" t="s">
        <v>247</v>
      </c>
      <c r="C37" s="38" t="s">
        <v>243</v>
      </c>
      <c r="D37" s="38" t="s">
        <v>7</v>
      </c>
      <c r="E37" s="57" t="s">
        <v>248</v>
      </c>
      <c r="F37" s="90" t="s">
        <v>249</v>
      </c>
      <c r="G37" s="91" t="s">
        <v>119</v>
      </c>
      <c r="H37" s="91" t="s">
        <v>250</v>
      </c>
      <c r="I37" s="88">
        <v>46054</v>
      </c>
      <c r="J37" s="88"/>
      <c r="K37" s="97"/>
      <c r="L37" s="97"/>
      <c r="M37" s="98"/>
      <c r="N37" s="98"/>
      <c r="O37" s="98"/>
      <c r="P37" s="98"/>
      <c r="Q37" s="98"/>
      <c r="R37" s="98"/>
      <c r="S37" s="68"/>
      <c r="T37" s="68"/>
      <c r="U37" s="68"/>
      <c r="V37" s="68"/>
      <c r="W37" s="43">
        <v>190486</v>
      </c>
      <c r="X37" s="163">
        <f>SUM(Table_Query_from_MS_Access_Database_1[[#This Row],[HURF EX]:[CRP 50-200]])</f>
        <v>190486</v>
      </c>
      <c r="Y37" s="43">
        <f ca="1">IF(ISTEXT(INDIRECT(ADDRESS(ROW()-1,COLUMN()))),INDIRECT(ADDRESS(12,COLUMN()))-SUM(Table_Query_from_MS_Access_Database8[TOTAL OF AMOUNT]),INDIRECT(ADDRESS(ROW()-1,COLUMN())))-Table_Query_from_MS_Access_Database_1[[#This Row],[TOTAL OF AMOUNT]]</f>
        <v>1161681.79</v>
      </c>
    </row>
    <row r="38" spans="1:25" ht="15.6" customHeight="1">
      <c r="A38" s="38" t="s">
        <v>251</v>
      </c>
      <c r="B38" s="38" t="s">
        <v>252</v>
      </c>
      <c r="C38" s="38" t="s">
        <v>243</v>
      </c>
      <c r="D38" s="38" t="s">
        <v>7</v>
      </c>
      <c r="E38" s="57" t="s">
        <v>253</v>
      </c>
      <c r="F38" s="90" t="s">
        <v>249</v>
      </c>
      <c r="G38" s="91" t="s">
        <v>119</v>
      </c>
      <c r="H38" s="91" t="s">
        <v>254</v>
      </c>
      <c r="I38" s="88">
        <v>46094</v>
      </c>
      <c r="J38" s="88"/>
      <c r="K38" s="97"/>
      <c r="L38" s="97"/>
      <c r="M38" s="98"/>
      <c r="N38" s="98"/>
      <c r="O38" s="98"/>
      <c r="P38" s="98"/>
      <c r="Q38" s="98"/>
      <c r="R38" s="98"/>
      <c r="S38" s="68"/>
      <c r="T38" s="68"/>
      <c r="U38" s="68"/>
      <c r="V38" s="68"/>
      <c r="W38" s="43">
        <v>284156</v>
      </c>
      <c r="X38" s="163">
        <f>SUM(Table_Query_from_MS_Access_Database_1[[#This Row],[HURF EX]:[CRP 50-200]])</f>
        <v>284156</v>
      </c>
      <c r="Y38" s="43">
        <f ca="1">IF(ISTEXT(INDIRECT(ADDRESS(ROW()-1,COLUMN()))),INDIRECT(ADDRESS(12,COLUMN()))-SUM(Table_Query_from_MS_Access_Database8[TOTAL OF AMOUNT]),INDIRECT(ADDRESS(ROW()-1,COLUMN())))-Table_Query_from_MS_Access_Database_1[[#This Row],[TOTAL OF AMOUNT]]</f>
        <v>877525.79</v>
      </c>
    </row>
    <row r="39" spans="1:25" ht="46.5" customHeight="1">
      <c r="A39" s="38" t="s">
        <v>292</v>
      </c>
      <c r="B39" s="38" t="s">
        <v>293</v>
      </c>
      <c r="C39" s="38" t="s">
        <v>256</v>
      </c>
      <c r="D39" s="38" t="s">
        <v>7</v>
      </c>
      <c r="E39" s="57" t="s">
        <v>257</v>
      </c>
      <c r="F39" s="90" t="s">
        <v>258</v>
      </c>
      <c r="G39" s="91" t="s">
        <v>119</v>
      </c>
      <c r="H39" s="91" t="s">
        <v>259</v>
      </c>
      <c r="I39" s="88">
        <v>46023</v>
      </c>
      <c r="J39" s="88"/>
      <c r="K39" s="97"/>
      <c r="L39" s="97"/>
      <c r="M39" s="98">
        <v>741150.7</v>
      </c>
      <c r="N39" s="98"/>
      <c r="O39" s="98"/>
      <c r="P39" s="98"/>
      <c r="Q39" s="98"/>
      <c r="R39" s="98">
        <v>82350.080000000002</v>
      </c>
      <c r="S39" s="68"/>
      <c r="T39" s="68"/>
      <c r="U39" s="68"/>
      <c r="V39" s="68"/>
      <c r="W39" s="43"/>
      <c r="X39" s="163">
        <f>SUM(Table_Query_from_MS_Access_Database_1[[#This Row],[HURF EX]:[CRP 50-200]])</f>
        <v>823500.77999999991</v>
      </c>
      <c r="Y39" s="43">
        <f ca="1">IF(ISTEXT(INDIRECT(ADDRESS(ROW()-1,COLUMN()))),INDIRECT(ADDRESS(12,COLUMN()))-SUM(Table_Query_from_MS_Access_Database8[TOTAL OF AMOUNT]),INDIRECT(ADDRESS(ROW()-1,COLUMN())))-Table_Query_from_MS_Access_Database_1[[#This Row],[TOTAL OF AMOUNT]]</f>
        <v>54025.010000000126</v>
      </c>
    </row>
    <row r="40" spans="1:25" ht="31.95" hidden="1" customHeight="1">
      <c r="A40" s="38"/>
      <c r="B40" s="38"/>
      <c r="C40" s="38"/>
      <c r="D40" s="38"/>
      <c r="E40" s="57"/>
      <c r="F40" s="90"/>
      <c r="G40" s="91"/>
      <c r="H40" s="91"/>
      <c r="I40" s="88"/>
      <c r="J40" s="88"/>
      <c r="K40" s="97"/>
      <c r="L40" s="97"/>
      <c r="M40" s="98"/>
      <c r="N40" s="98"/>
      <c r="O40" s="98"/>
      <c r="P40" s="98"/>
      <c r="Q40" s="98"/>
      <c r="R40" s="98"/>
      <c r="S40" s="68"/>
      <c r="T40" s="68"/>
      <c r="U40" s="68"/>
      <c r="V40" s="68"/>
      <c r="W40" s="43"/>
      <c r="X40" s="163"/>
      <c r="Y40" s="43"/>
    </row>
    <row r="41" spans="1:25" ht="42.75" hidden="1" customHeight="1">
      <c r="A41" s="38"/>
      <c r="B41" s="38"/>
      <c r="C41" s="38"/>
      <c r="D41" s="38"/>
      <c r="E41" s="57"/>
      <c r="F41" s="90"/>
      <c r="G41" s="91"/>
      <c r="H41" s="91"/>
      <c r="I41" s="88"/>
      <c r="J41" s="88"/>
      <c r="K41" s="97"/>
      <c r="L41" s="97"/>
      <c r="M41" s="98"/>
      <c r="N41" s="98"/>
      <c r="O41" s="98"/>
      <c r="P41" s="98"/>
      <c r="Q41" s="98"/>
      <c r="R41" s="98"/>
      <c r="S41" s="68"/>
      <c r="T41" s="68"/>
      <c r="U41" s="68"/>
      <c r="V41" s="68"/>
      <c r="W41" s="43"/>
      <c r="X41" s="163"/>
      <c r="Y41" s="43"/>
    </row>
    <row r="42" spans="1:25" ht="16.5" hidden="1" customHeight="1">
      <c r="A42" s="38"/>
      <c r="B42" s="38"/>
      <c r="C42" s="38"/>
      <c r="D42" s="38"/>
      <c r="E42" s="57"/>
      <c r="F42" s="90"/>
      <c r="G42" s="91"/>
      <c r="H42" s="91"/>
      <c r="I42" s="88"/>
      <c r="J42" s="88"/>
      <c r="K42" s="97"/>
      <c r="L42" s="97"/>
      <c r="M42" s="98"/>
      <c r="N42" s="98"/>
      <c r="O42" s="98"/>
      <c r="P42" s="98"/>
      <c r="Q42" s="98"/>
      <c r="R42" s="98"/>
      <c r="S42" s="68"/>
      <c r="T42" s="68"/>
      <c r="U42" s="68"/>
      <c r="V42" s="68"/>
      <c r="W42" s="43"/>
      <c r="X42" s="163"/>
      <c r="Y42" s="43"/>
    </row>
    <row r="43" spans="1:25">
      <c r="A43" s="150"/>
      <c r="B43" s="150"/>
      <c r="C43" s="150"/>
      <c r="D43" s="150"/>
      <c r="E43" s="150"/>
      <c r="F43" s="150"/>
      <c r="G43" s="150"/>
      <c r="H43" s="150"/>
      <c r="I43" s="88"/>
      <c r="J43" s="152"/>
      <c r="K43" s="152"/>
      <c r="L43" s="59" t="s">
        <v>197</v>
      </c>
      <c r="M43" s="69">
        <f>SUM(Table_Query_from_MS_Access_Database_1[HURF EX])</f>
        <v>741150.7</v>
      </c>
      <c r="N43" s="69">
        <f>SUM(Table_Query_from_MS_Access_Database_1[HSIP])</f>
        <v>0</v>
      </c>
      <c r="O43" s="69">
        <f>SUM(Table_Query_from_MS_Access_Database_1[PL])</f>
        <v>0</v>
      </c>
      <c r="P43" s="69">
        <f>SUM(Table_Query_from_MS_Access_Database_1[PL-SATO])</f>
        <v>10445</v>
      </c>
      <c r="Q43" s="69">
        <f>SUM(Table_Query_from_MS_Access_Database_1[SPR])</f>
        <v>43750</v>
      </c>
      <c r="R43" s="69">
        <f>SUM(Table_Query_from_MS_Access_Database_1[STP &lt;5])</f>
        <v>82350.080000000002</v>
      </c>
      <c r="S43" s="69">
        <f>SUM(Table_Query_from_MS_Access_Database_1[STP 5-200])</f>
        <v>0</v>
      </c>
      <c r="T43" s="69">
        <f>SUM(Table_Query_from_MS_Access_Database_1[STP 5-50])</f>
        <v>5000</v>
      </c>
      <c r="U43" s="69">
        <f>SUM(Table_Query_from_MS_Access_Database_1[STP 50-200])</f>
        <v>105146</v>
      </c>
      <c r="V43" s="69">
        <f>SUM(Table_Query_from_MS_Access_Database_1[STP OTHER])</f>
        <v>0</v>
      </c>
      <c r="W43" s="69">
        <f>SUM(Table_Query_from_MS_Access_Database_1[CRP 50-200])</f>
        <v>1049309</v>
      </c>
      <c r="X43" s="69">
        <f>SUM(Table_Query_from_MS_Access_Database_1[TOTAL OF AMOUNT])</f>
        <v>2037150.7799999998</v>
      </c>
      <c r="Y43" s="43"/>
    </row>
    <row r="44" spans="1:25" ht="24">
      <c r="A44" s="38"/>
      <c r="B44" s="38"/>
      <c r="C44" s="38"/>
      <c r="D44" s="38"/>
      <c r="E44" s="38"/>
      <c r="F44" s="38"/>
      <c r="G44" s="38"/>
      <c r="H44" s="38"/>
      <c r="I44" s="38"/>
      <c r="J44" s="43"/>
      <c r="K44" s="43"/>
      <c r="L44" s="59" t="s">
        <v>72</v>
      </c>
      <c r="M44" s="69">
        <f t="shared" ref="M44:X44" si="5">+M29-M43</f>
        <v>-741150.7</v>
      </c>
      <c r="N44" s="69">
        <f t="shared" si="5"/>
        <v>0</v>
      </c>
      <c r="O44" s="69">
        <f t="shared" si="5"/>
        <v>1</v>
      </c>
      <c r="P44" s="69">
        <f t="shared" si="5"/>
        <v>-1</v>
      </c>
      <c r="Q44" s="69">
        <f t="shared" si="5"/>
        <v>0</v>
      </c>
      <c r="R44" s="69">
        <f t="shared" si="5"/>
        <v>101230.92</v>
      </c>
      <c r="S44" s="69">
        <f t="shared" si="5"/>
        <v>0</v>
      </c>
      <c r="T44" s="69">
        <f t="shared" si="5"/>
        <v>290009</v>
      </c>
      <c r="U44" s="69">
        <f t="shared" si="5"/>
        <v>482312</v>
      </c>
      <c r="V44" s="69">
        <f t="shared" si="5"/>
        <v>0</v>
      </c>
      <c r="W44" s="69">
        <f t="shared" si="5"/>
        <v>249704</v>
      </c>
      <c r="X44" s="69">
        <f t="shared" si="5"/>
        <v>382105.2200000002</v>
      </c>
    </row>
    <row r="45" spans="1:25">
      <c r="J45" s="27"/>
      <c r="K45" s="27"/>
      <c r="L45" s="27"/>
      <c r="M45" s="43">
        <f t="shared" ref="M45:X45" si="6">M28+M43</f>
        <v>741150.7</v>
      </c>
      <c r="N45" s="43">
        <f t="shared" si="6"/>
        <v>0</v>
      </c>
      <c r="O45" s="43">
        <f t="shared" si="6"/>
        <v>407346</v>
      </c>
      <c r="P45" s="43">
        <f t="shared" si="6"/>
        <v>10445</v>
      </c>
      <c r="Q45" s="43">
        <f t="shared" si="6"/>
        <v>175000</v>
      </c>
      <c r="R45" s="43">
        <f t="shared" si="6"/>
        <v>82350.080000000002</v>
      </c>
      <c r="S45" s="43">
        <f t="shared" si="6"/>
        <v>0</v>
      </c>
      <c r="T45" s="43">
        <f t="shared" si="6"/>
        <v>5000</v>
      </c>
      <c r="U45" s="43">
        <f t="shared" si="6"/>
        <v>105146</v>
      </c>
      <c r="V45" s="43">
        <f t="shared" si="6"/>
        <v>0</v>
      </c>
      <c r="W45" s="43">
        <f t="shared" si="6"/>
        <v>1049309</v>
      </c>
      <c r="X45" s="43">
        <f t="shared" si="6"/>
        <v>2575746.7799999998</v>
      </c>
    </row>
    <row r="46" spans="1:25">
      <c r="J46" s="27"/>
      <c r="K46" s="27"/>
      <c r="L46" s="27"/>
      <c r="M46" s="27"/>
      <c r="R46" s="24"/>
      <c r="S46" s="24"/>
      <c r="T46" s="43"/>
      <c r="U46" s="64"/>
      <c r="V46" s="38"/>
    </row>
    <row r="47" spans="1:25" ht="17.25" customHeight="1">
      <c r="A47" s="44" t="s">
        <v>74</v>
      </c>
      <c r="J47" s="27"/>
      <c r="K47" s="27"/>
      <c r="L47" s="27"/>
      <c r="M47" s="27"/>
      <c r="N47" s="158" t="s">
        <v>56</v>
      </c>
      <c r="O47" s="158"/>
      <c r="P47" s="158"/>
      <c r="Q47" s="158"/>
      <c r="R47" s="39"/>
      <c r="S47" s="24"/>
      <c r="T47" s="43"/>
      <c r="U47" s="38"/>
      <c r="V47" s="38"/>
    </row>
    <row r="48" spans="1:25">
      <c r="A48" s="38"/>
      <c r="B48" s="38"/>
      <c r="C48" s="38"/>
      <c r="D48" s="38"/>
      <c r="E48" s="38"/>
      <c r="F48" s="38"/>
      <c r="G48" s="38"/>
      <c r="H48" s="38"/>
      <c r="I48" s="38"/>
      <c r="J48" s="43"/>
      <c r="K48" s="43"/>
      <c r="L48" s="70"/>
      <c r="M48" s="71" t="s">
        <v>137</v>
      </c>
      <c r="N48" s="71" t="s">
        <v>4</v>
      </c>
      <c r="O48" s="71" t="s">
        <v>41</v>
      </c>
      <c r="P48" s="71" t="s">
        <v>185</v>
      </c>
      <c r="Q48" s="71" t="s">
        <v>5</v>
      </c>
      <c r="R48" s="71" t="s">
        <v>123</v>
      </c>
      <c r="S48" s="71" t="s">
        <v>131</v>
      </c>
      <c r="T48" s="71" t="s">
        <v>186</v>
      </c>
      <c r="U48" s="71" t="s">
        <v>187</v>
      </c>
      <c r="V48" s="71" t="s">
        <v>191</v>
      </c>
      <c r="W48" s="71" t="s">
        <v>188</v>
      </c>
      <c r="X48" s="71" t="s">
        <v>53</v>
      </c>
      <c r="Y48" s="72" t="s">
        <v>57</v>
      </c>
    </row>
    <row r="49" spans="1:27">
      <c r="A49" s="38"/>
      <c r="B49" s="174"/>
      <c r="C49" s="175"/>
      <c r="D49" s="38"/>
      <c r="E49" s="38"/>
      <c r="F49" s="38"/>
      <c r="G49" s="38"/>
      <c r="H49" s="38"/>
      <c r="I49" s="38"/>
      <c r="J49" s="43"/>
      <c r="K49" s="43"/>
      <c r="L49" s="66" t="s">
        <v>281</v>
      </c>
      <c r="M49" s="69">
        <f>+M44</f>
        <v>-741150.7</v>
      </c>
      <c r="N49" s="69">
        <f>+N44</f>
        <v>0</v>
      </c>
      <c r="O49" s="69">
        <f t="shared" ref="O49:W49" si="7">+O44</f>
        <v>1</v>
      </c>
      <c r="P49" s="69">
        <f t="shared" si="7"/>
        <v>-1</v>
      </c>
      <c r="Q49" s="69">
        <f t="shared" si="7"/>
        <v>0</v>
      </c>
      <c r="R49" s="69">
        <f>+R44</f>
        <v>101230.92</v>
      </c>
      <c r="S49" s="69">
        <f t="shared" si="7"/>
        <v>0</v>
      </c>
      <c r="T49" s="69">
        <f t="shared" si="7"/>
        <v>290009</v>
      </c>
      <c r="U49" s="69">
        <f t="shared" si="7"/>
        <v>482312</v>
      </c>
      <c r="V49" s="69">
        <f t="shared" si="7"/>
        <v>0</v>
      </c>
      <c r="W49" s="69">
        <f t="shared" si="7"/>
        <v>249704</v>
      </c>
      <c r="X49" s="69">
        <f>SUM(M49:W49)</f>
        <v>382105.22000000009</v>
      </c>
      <c r="Y49" s="69">
        <f ca="1">Y39</f>
        <v>54025.010000000126</v>
      </c>
      <c r="AA49" s="27"/>
    </row>
    <row r="50" spans="1:27">
      <c r="A50" s="38"/>
      <c r="B50" s="38"/>
      <c r="C50" s="38"/>
      <c r="D50" s="38"/>
      <c r="E50" s="38"/>
      <c r="F50" s="38"/>
      <c r="G50" s="38"/>
      <c r="H50" s="38"/>
      <c r="I50" s="38"/>
      <c r="J50" s="43"/>
      <c r="K50" s="43"/>
      <c r="L50" s="66" t="s">
        <v>282</v>
      </c>
      <c r="M50" s="100">
        <f>SUMIFS(Table_Query_from_MS_Access_Database[[#All],[Notes]],Table_Query_from_MS_Access_Database[[#All],[Transaction Year]],"2022",Table_Query_from_MS_Access_Database[[#All],[Transaction Type]],"Lapsing")</f>
        <v>0</v>
      </c>
      <c r="N50" s="100">
        <f>SUMIFS(Table_Query_from_MS_Access_Database[[#All],[Total]],Table_Query_from_MS_Access_Database[[#All],[Transaction Type]],"2022",Table_Query_from_MS_Access_Database[[#All],[Number]],"Lapsing")</f>
        <v>0</v>
      </c>
      <c r="O50" s="100">
        <f>SUMIFS(Table_Query_from_MS_Access_Database[[#All],[HURF EXCHANGE]],Table_Query_from_MS_Access_Database[[#All],[Number]],"2022",Table_Query_from_MS_Access_Database[[#All],[From]],"Lapsing")</f>
        <v>0</v>
      </c>
      <c r="P50" s="100">
        <f>SUMIFS(Table_Query_from_MS_Access_Database[[#All],[HSIP]],Table_Query_from_MS_Access_Database[[#All],[From]],"2022",Table_Query_from_MS_Access_Database[[#All],[To]],"Lapsing")</f>
        <v>0</v>
      </c>
      <c r="Q50" s="100">
        <f>SUMIFS(Table_Query_from_MS_Access_Database[[#All],[HSIP]],Table_Query_from_MS_Access_Database[[#All],[From]],"2022",Table_Query_from_MS_Access_Database[[#All],[To]],"Lapsing")</f>
        <v>0</v>
      </c>
      <c r="R50" s="100">
        <f>SUMIFS(Table_Query_from_MS_Access_Database[[#All],[PLAN]],Table_Query_from_MS_Access_Database[[#All],[To]],"2022",Table_Query_from_MS_Access_Database[[#All],[Repayment Year]],"Lapsing")</f>
        <v>0</v>
      </c>
      <c r="S50" s="100">
        <f>SUMIFS(Table_Query_from_MS_Access_Database[[#All],[PLAN SATO]],Table_Query_from_MS_Access_Database[[#All],[Repayment Year]],"2022",Table_Query_from_MS_Access_Database[[#All],[Project8]],"Lapsing")</f>
        <v>0</v>
      </c>
      <c r="T50" s="100">
        <f>SUMIFS(Table_Query_from_MS_Access_Database[[#All],[SPR]],Table_Query_from_MS_Access_Database[[#All],[Project8]],"2022",Table_Query_from_MS_Access_Database[[#All],[Notes]],"Lapsing")</f>
        <v>0</v>
      </c>
      <c r="U50" s="100">
        <f>SUMIFS(Table_Query_from_MS_Access_Database[[#All],[STP &lt;5]],Table_Query_from_MS_Access_Database[[#All],[Notes]],"2022",Table_Query_from_MS_Access_Database[[#All],[Total]],"Lapsing")</f>
        <v>0</v>
      </c>
      <c r="V50" s="100">
        <f>SUMIFS(Table_Query_from_MS_Access_Database[[#All],[STP 5-2]],Table_Query_from_MS_Access_Database[[#All],[Total]],"2022",Table_Query_from_MS_Access_Database[[#All],[HURF EXCHANGE]],"Lapsing")</f>
        <v>0</v>
      </c>
      <c r="W50" s="100">
        <f>SUMIFS(Table_Query_from_MS_Access_Database[[#All],[SPR]],Table_Query_from_MS_Access_Database[[#All],[Project8]],"2022",Table_Query_from_MS_Access_Database[[#All],[Notes]],"Lapsing")</f>
        <v>0</v>
      </c>
      <c r="X50" s="100">
        <f>SUM(M50:W50)</f>
        <v>0</v>
      </c>
      <c r="Y50" s="100">
        <f>SUMIFS(Table_Query_from_MS_Access_Database_16[[#All],[To]],Table_Query_from_MS_Access_Database_16[[#All],[Transaction Year]],"2019",Table_Query_from_MS_Access_Database_16[[#All],[Transaction Type]],"Lapsing")</f>
        <v>0</v>
      </c>
    </row>
    <row r="51" spans="1:27">
      <c r="A51" s="103"/>
      <c r="B51" s="38"/>
      <c r="C51" s="38"/>
      <c r="D51" s="38"/>
      <c r="E51" s="38"/>
      <c r="F51" s="38"/>
      <c r="G51" s="38"/>
      <c r="H51" s="38"/>
      <c r="I51" s="38"/>
      <c r="J51" s="43"/>
      <c r="K51" s="43"/>
      <c r="L51" s="66" t="s">
        <v>283</v>
      </c>
      <c r="M51" s="69">
        <f t="shared" ref="M51" si="8">SUM(M49:M50)</f>
        <v>-741150.7</v>
      </c>
      <c r="N51" s="69">
        <f>SUM(N49:N50)</f>
        <v>0</v>
      </c>
      <c r="O51" s="69">
        <f>SUM(O49:O50)</f>
        <v>1</v>
      </c>
      <c r="P51" s="69">
        <f>SUM(P49:P50)</f>
        <v>-1</v>
      </c>
      <c r="Q51" s="69">
        <f t="shared" ref="Q51:S51" si="9">SUM(Q49:Q50)</f>
        <v>0</v>
      </c>
      <c r="R51" s="69">
        <f t="shared" si="9"/>
        <v>101230.92</v>
      </c>
      <c r="S51" s="69">
        <f t="shared" si="9"/>
        <v>0</v>
      </c>
      <c r="T51" s="69">
        <f t="shared" ref="T51:V51" si="10">SUM(T49:T50)</f>
        <v>290009</v>
      </c>
      <c r="U51" s="69">
        <f t="shared" si="10"/>
        <v>482312</v>
      </c>
      <c r="V51" s="69">
        <f t="shared" si="10"/>
        <v>0</v>
      </c>
      <c r="W51" s="69">
        <f t="shared" ref="W51" si="11">SUM(W49:W50)</f>
        <v>249704</v>
      </c>
      <c r="X51" s="69">
        <f>SUM(M51:W51)</f>
        <v>382105.22000000009</v>
      </c>
      <c r="Y51" s="69">
        <f ca="1">SUM(Y49:Y50)</f>
        <v>54025.010000000126</v>
      </c>
    </row>
    <row r="52" spans="1:27">
      <c r="A52" s="171"/>
      <c r="B52" s="172"/>
      <c r="C52" s="172"/>
      <c r="D52" s="172"/>
      <c r="E52" s="172"/>
      <c r="F52" s="172"/>
      <c r="G52" s="172"/>
      <c r="H52" s="172"/>
      <c r="I52" s="172"/>
      <c r="J52" s="172"/>
      <c r="K52" s="172"/>
      <c r="L52" s="67" t="s">
        <v>280</v>
      </c>
      <c r="M52" s="100">
        <v>0</v>
      </c>
      <c r="N52" s="100">
        <v>0</v>
      </c>
      <c r="O52" s="100">
        <v>0</v>
      </c>
      <c r="P52" s="100">
        <v>0</v>
      </c>
      <c r="Q52" s="100">
        <f t="shared" ref="Q52:S52" si="12">+Q49-Q44</f>
        <v>0</v>
      </c>
      <c r="R52" s="100">
        <f t="shared" si="12"/>
        <v>0</v>
      </c>
      <c r="S52" s="100">
        <f t="shared" si="12"/>
        <v>0</v>
      </c>
      <c r="T52" s="100">
        <f t="shared" ref="T52:W52" si="13">+T49-T44</f>
        <v>0</v>
      </c>
      <c r="U52" s="100">
        <f t="shared" si="13"/>
        <v>0</v>
      </c>
      <c r="V52" s="100">
        <f t="shared" si="13"/>
        <v>0</v>
      </c>
      <c r="W52" s="100">
        <f t="shared" si="13"/>
        <v>0</v>
      </c>
      <c r="X52" s="100">
        <f>+W52</f>
        <v>0</v>
      </c>
      <c r="Y52" s="100">
        <v>0</v>
      </c>
    </row>
    <row r="53" spans="1:27">
      <c r="A53" s="33"/>
      <c r="B53" s="33"/>
      <c r="C53" s="33"/>
      <c r="D53" s="33"/>
      <c r="E53" s="33"/>
      <c r="F53" s="33"/>
      <c r="G53" s="33"/>
      <c r="H53" s="33"/>
      <c r="I53" s="33"/>
      <c r="J53" s="33"/>
      <c r="K53" s="33"/>
      <c r="L53" s="67"/>
      <c r="M53" s="68"/>
      <c r="N53" s="68"/>
      <c r="O53" s="68"/>
      <c r="P53" s="68"/>
      <c r="Q53" s="68"/>
      <c r="R53" s="68"/>
      <c r="S53" s="68"/>
      <c r="T53" s="68"/>
      <c r="U53" s="68"/>
      <c r="V53" s="68"/>
      <c r="W53" s="68"/>
      <c r="X53" s="68"/>
      <c r="Y53" s="68"/>
    </row>
    <row r="54" spans="1:27">
      <c r="U54" s="27"/>
      <c r="V54" s="27"/>
      <c r="W54" s="27"/>
    </row>
    <row r="55" spans="1:27">
      <c r="U55" s="27"/>
      <c r="V55" s="27"/>
      <c r="W55" s="27"/>
    </row>
    <row r="56" spans="1:27" ht="15.6">
      <c r="A56" s="199" t="s">
        <v>241</v>
      </c>
    </row>
    <row r="58" spans="1:27" ht="14.4">
      <c r="A58" t="s">
        <v>238</v>
      </c>
    </row>
    <row r="59" spans="1:27" ht="14.4">
      <c r="B59" s="185" t="s">
        <v>239</v>
      </c>
    </row>
    <row r="60" spans="1:27" ht="14.4">
      <c r="B60" s="185" t="s">
        <v>240</v>
      </c>
    </row>
    <row r="62" spans="1:27" ht="14.4">
      <c r="A62" t="s">
        <v>291</v>
      </c>
      <c r="B62"/>
    </row>
    <row r="63" spans="1:27" ht="14.4">
      <c r="A63"/>
      <c r="B63"/>
    </row>
    <row r="64" spans="1:27" ht="14.4">
      <c r="A64"/>
      <c r="B64"/>
    </row>
    <row r="65" spans="1:9" ht="14.4">
      <c r="A65"/>
      <c r="B65"/>
      <c r="I65" s="173"/>
    </row>
    <row r="66" spans="1:9" ht="14.4">
      <c r="A66"/>
      <c r="B66"/>
      <c r="I66" s="173"/>
    </row>
  </sheetData>
  <sheetProtection autoFilter="0"/>
  <mergeCells count="8">
    <mergeCell ref="M2:X2"/>
    <mergeCell ref="M1:X1"/>
    <mergeCell ref="A31:D31"/>
    <mergeCell ref="A1:F1"/>
    <mergeCell ref="A14:D14"/>
    <mergeCell ref="I14:L14"/>
    <mergeCell ref="A5:D5"/>
    <mergeCell ref="A3:C3"/>
  </mergeCells>
  <pageMargins left="0.5" right="0.25" top="0.75" bottom="0.5" header="0.3" footer="0.3"/>
  <pageSetup paperSize="17" scale="64" fitToHeight="0" orientation="landscape" horizontalDpi="1200" verticalDpi="1200" r:id="rId1"/>
  <headerFooter>
    <oddFooter>&amp;L&amp;8&amp;Z&amp;F&amp;R&amp;P of &amp;N</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P188"/>
  <sheetViews>
    <sheetView zoomScaleNormal="100" workbookViewId="0">
      <selection activeCell="H76" sqref="H76:H77"/>
    </sheetView>
  </sheetViews>
  <sheetFormatPr defaultColWidth="19.6640625" defaultRowHeight="14.4"/>
  <cols>
    <col min="1" max="1" width="18.5546875" style="16" bestFit="1" customWidth="1"/>
    <col min="2" max="2" width="19" style="16" bestFit="1" customWidth="1"/>
    <col min="3" max="3" width="18" style="16" bestFit="1" customWidth="1"/>
    <col min="4" max="4" width="8.88671875" style="16" bestFit="1" customWidth="1"/>
    <col min="5" max="5" width="8.33203125" style="16" bestFit="1" customWidth="1"/>
    <col min="6" max="6" width="18.44140625" style="16" bestFit="1" customWidth="1"/>
    <col min="7" max="7" width="33" style="16" bestFit="1" customWidth="1"/>
    <col min="8" max="8" width="46.6640625" style="17" bestFit="1" customWidth="1"/>
    <col min="9" max="9" width="13.33203125" style="16" bestFit="1" customWidth="1"/>
    <col min="10" max="10" width="18.88671875" style="16" bestFit="1" customWidth="1"/>
    <col min="11" max="11" width="11.77734375" style="16" bestFit="1" customWidth="1"/>
    <col min="12" max="12" width="9.109375" style="16" bestFit="1" customWidth="1"/>
    <col min="13" max="13" width="14.109375" style="16" bestFit="1" customWidth="1"/>
    <col min="14" max="14" width="9.77734375" style="16" bestFit="1" customWidth="1"/>
    <col min="15" max="16" width="11.77734375" style="16" bestFit="1" customWidth="1"/>
    <col min="17" max="17" width="13.33203125" style="16" bestFit="1" customWidth="1"/>
    <col min="18" max="18" width="13.77734375" style="16" bestFit="1" customWidth="1"/>
    <col min="19" max="19" width="13.33203125" style="16" bestFit="1" customWidth="1"/>
    <col min="20" max="20" width="14" style="16" bestFit="1" customWidth="1"/>
    <col min="21" max="24" width="16.44140625" style="16" customWidth="1"/>
    <col min="25" max="25" width="11.5546875" style="16" customWidth="1"/>
    <col min="26" max="26" width="9.6640625" style="16" customWidth="1"/>
    <col min="27" max="27" width="10.109375" style="16" customWidth="1"/>
    <col min="28" max="28" width="11.6640625" style="16" customWidth="1"/>
    <col min="29" max="29" width="13.33203125" style="16" customWidth="1"/>
    <col min="30" max="30" width="16.5546875" style="16" customWidth="1"/>
    <col min="31" max="31" width="11.6640625" style="16" customWidth="1"/>
    <col min="32" max="32" width="15.6640625" style="16" customWidth="1"/>
    <col min="33" max="33" width="13.44140625" style="16" customWidth="1"/>
    <col min="34" max="34" width="15.6640625" style="16" customWidth="1"/>
    <col min="35" max="36" width="9.5546875" style="16" customWidth="1"/>
    <col min="37" max="37" width="11.88671875" style="16" customWidth="1"/>
    <col min="38" max="38" width="64.33203125" style="16" customWidth="1"/>
    <col min="39" max="39" width="14" style="16" customWidth="1"/>
    <col min="40" max="40" width="16.88671875" style="16" customWidth="1"/>
    <col min="41" max="41" width="12.109375" style="16" customWidth="1"/>
    <col min="42" max="42" width="16" style="16" customWidth="1"/>
  </cols>
  <sheetData>
    <row r="1" spans="1:42" ht="18">
      <c r="A1" s="212" t="str">
        <f>+'Federal Funds Transactions'!A1:F1</f>
        <v>Yuma Metropolitan Planning Organization</v>
      </c>
      <c r="B1" s="212"/>
      <c r="C1" s="212"/>
      <c r="D1" s="212"/>
      <c r="E1" s="212"/>
      <c r="F1" s="212"/>
    </row>
    <row r="2" spans="1:42">
      <c r="A2" s="18"/>
      <c r="B2" s="18"/>
      <c r="C2" s="18"/>
      <c r="D2" s="18"/>
      <c r="E2" s="18"/>
      <c r="F2" s="18"/>
    </row>
    <row r="3" spans="1:42">
      <c r="A3" s="213" t="s">
        <v>79</v>
      </c>
      <c r="B3" s="213"/>
      <c r="C3" s="213"/>
      <c r="D3" s="213"/>
      <c r="E3" s="213"/>
      <c r="F3" s="213"/>
    </row>
    <row r="4" spans="1:42">
      <c r="A4" s="19"/>
      <c r="B4" s="19"/>
      <c r="C4" s="19"/>
      <c r="D4" s="19"/>
      <c r="E4" s="19"/>
      <c r="F4" s="19"/>
    </row>
    <row r="5" spans="1:42">
      <c r="A5" s="16" t="s">
        <v>78</v>
      </c>
      <c r="B5" s="51">
        <f>+'Federal Funds Transactions'!C6</f>
        <v>46024</v>
      </c>
      <c r="C5" s="18"/>
      <c r="D5" s="18"/>
      <c r="E5" s="18"/>
      <c r="F5" s="18"/>
    </row>
    <row r="6" spans="1:42">
      <c r="A6" s="18"/>
      <c r="B6" s="18"/>
      <c r="C6" s="18"/>
      <c r="D6" s="18"/>
      <c r="E6" s="18"/>
      <c r="F6" s="18"/>
    </row>
    <row r="7" spans="1:42" ht="15" customHeight="1">
      <c r="A7" s="216" t="str">
        <f>+'Federal Funds Transactions'!A9:K9</f>
        <v>IMPORTANT! Please review the information in the Notes tab for further explanation of the data in this document.</v>
      </c>
      <c r="B7" s="216"/>
      <c r="C7" s="216"/>
      <c r="D7" s="216"/>
      <c r="E7" s="216"/>
      <c r="F7" s="216"/>
      <c r="G7" s="216"/>
      <c r="H7" s="216"/>
    </row>
    <row r="9" spans="1:42" ht="15.75" customHeight="1">
      <c r="A9" s="214" t="s">
        <v>76</v>
      </c>
      <c r="B9" s="214"/>
      <c r="C9" s="214"/>
      <c r="D9" s="214"/>
      <c r="E9" s="214"/>
      <c r="F9" s="214"/>
      <c r="G9" s="214"/>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2"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2"/>
      <c r="AP10" s="22"/>
    </row>
    <row r="11" spans="1:42">
      <c r="A11" s="55" t="s">
        <v>42</v>
      </c>
      <c r="B11" s="56" t="s">
        <v>43</v>
      </c>
      <c r="C11" s="56" t="s">
        <v>13</v>
      </c>
      <c r="D11" s="56" t="s">
        <v>83</v>
      </c>
      <c r="E11" s="56" t="s">
        <v>84</v>
      </c>
      <c r="F11" s="56" t="s">
        <v>44</v>
      </c>
      <c r="G11" s="56" t="s">
        <v>85</v>
      </c>
      <c r="H11" s="56" t="s">
        <v>86</v>
      </c>
      <c r="I11" s="56" t="s">
        <v>10</v>
      </c>
      <c r="J11" s="56" t="s">
        <v>138</v>
      </c>
      <c r="K11" s="56" t="s">
        <v>4</v>
      </c>
      <c r="L11" s="56" t="s">
        <v>135</v>
      </c>
      <c r="M11" s="56" t="s">
        <v>189</v>
      </c>
      <c r="N11" s="56" t="s">
        <v>5</v>
      </c>
      <c r="O11" s="56" t="s">
        <v>123</v>
      </c>
      <c r="P11" s="56" t="s">
        <v>131</v>
      </c>
      <c r="Q11" s="56" t="s">
        <v>186</v>
      </c>
      <c r="R11" s="56" t="s">
        <v>187</v>
      </c>
      <c r="S11" s="56" t="s">
        <v>136</v>
      </c>
      <c r="T11" s="56" t="s">
        <v>188</v>
      </c>
      <c r="U11" s="22"/>
      <c r="V11" s="22"/>
      <c r="W11" s="22"/>
      <c r="X11" s="22"/>
      <c r="Y11" s="22"/>
      <c r="Z11" s="22"/>
      <c r="AA11"/>
      <c r="AB11"/>
      <c r="AC11"/>
      <c r="AD11"/>
      <c r="AE11"/>
      <c r="AF11"/>
      <c r="AG11"/>
      <c r="AH11"/>
      <c r="AI11"/>
      <c r="AJ11"/>
      <c r="AK11"/>
      <c r="AL11"/>
      <c r="AM11"/>
      <c r="AN11"/>
      <c r="AO11"/>
      <c r="AP11"/>
    </row>
    <row r="12" spans="1:42" hidden="1">
      <c r="A12" s="47" t="s">
        <v>94</v>
      </c>
      <c r="B12" s="45" t="s">
        <v>111</v>
      </c>
      <c r="C12" s="45" t="s">
        <v>112</v>
      </c>
      <c r="D12" s="45" t="s">
        <v>88</v>
      </c>
      <c r="E12" s="45" t="s">
        <v>93</v>
      </c>
      <c r="F12" s="45" t="s">
        <v>94</v>
      </c>
      <c r="G12" s="45"/>
      <c r="H12" s="45" t="s">
        <v>113</v>
      </c>
      <c r="I12" s="45">
        <v>-220124.9</v>
      </c>
      <c r="J12" s="45"/>
      <c r="K12" s="45">
        <v>-122075</v>
      </c>
      <c r="L12" s="46">
        <v>-1</v>
      </c>
      <c r="M12" s="46"/>
      <c r="N12" s="53">
        <v>-7875</v>
      </c>
      <c r="O12" s="53"/>
      <c r="P12" s="53"/>
      <c r="Q12" s="53"/>
      <c r="R12" s="53"/>
      <c r="S12" s="53">
        <v>-90173.9</v>
      </c>
      <c r="T12" s="148"/>
      <c r="U12" s="53"/>
      <c r="V12" s="53"/>
      <c r="W12" s="53"/>
      <c r="X12" s="53"/>
      <c r="Y12" s="53"/>
      <c r="Z12" s="53"/>
      <c r="AA12"/>
      <c r="AB12"/>
      <c r="AC12"/>
      <c r="AD12"/>
      <c r="AE12"/>
      <c r="AF12"/>
      <c r="AG12"/>
      <c r="AH12"/>
      <c r="AI12"/>
      <c r="AJ12"/>
      <c r="AK12"/>
      <c r="AL12"/>
      <c r="AM12"/>
      <c r="AN12"/>
      <c r="AO12"/>
      <c r="AP12"/>
    </row>
    <row r="13" spans="1:42" hidden="1">
      <c r="A13" s="48" t="s">
        <v>94</v>
      </c>
      <c r="B13" s="46" t="s">
        <v>89</v>
      </c>
      <c r="C13" s="46" t="s">
        <v>95</v>
      </c>
      <c r="D13" s="46" t="s">
        <v>96</v>
      </c>
      <c r="E13" s="46" t="s">
        <v>88</v>
      </c>
      <c r="F13" s="46" t="s">
        <v>97</v>
      </c>
      <c r="G13" s="46"/>
      <c r="H13" s="46" t="s">
        <v>98</v>
      </c>
      <c r="I13" s="46">
        <v>185000</v>
      </c>
      <c r="J13" s="46"/>
      <c r="K13" s="46"/>
      <c r="L13" s="46"/>
      <c r="M13" s="46"/>
      <c r="N13" s="53"/>
      <c r="O13" s="53"/>
      <c r="P13" s="53"/>
      <c r="Q13" s="53"/>
      <c r="R13" s="53"/>
      <c r="S13" s="53">
        <v>185000</v>
      </c>
      <c r="T13" s="148"/>
      <c r="U13" s="53"/>
      <c r="V13" s="53"/>
      <c r="W13" s="53"/>
      <c r="X13" s="53"/>
      <c r="Y13" s="53"/>
      <c r="Z13" s="53"/>
      <c r="AA13"/>
      <c r="AB13"/>
      <c r="AC13"/>
      <c r="AD13"/>
      <c r="AE13"/>
      <c r="AF13"/>
      <c r="AG13"/>
      <c r="AH13"/>
      <c r="AI13"/>
      <c r="AJ13"/>
      <c r="AK13"/>
      <c r="AL13"/>
      <c r="AM13"/>
      <c r="AN13"/>
      <c r="AO13"/>
      <c r="AP13"/>
    </row>
    <row r="14" spans="1:42" hidden="1">
      <c r="A14" s="48" t="s">
        <v>94</v>
      </c>
      <c r="B14" s="46" t="s">
        <v>89</v>
      </c>
      <c r="C14" s="46" t="s">
        <v>105</v>
      </c>
      <c r="D14" s="46" t="s">
        <v>93</v>
      </c>
      <c r="E14" s="46" t="s">
        <v>88</v>
      </c>
      <c r="F14" s="46" t="s">
        <v>109</v>
      </c>
      <c r="G14" s="46"/>
      <c r="H14" s="46" t="s">
        <v>106</v>
      </c>
      <c r="I14" s="46">
        <v>344267</v>
      </c>
      <c r="J14" s="46"/>
      <c r="K14" s="46"/>
      <c r="L14" s="46"/>
      <c r="M14" s="46"/>
      <c r="N14" s="53"/>
      <c r="O14" s="53"/>
      <c r="P14" s="53"/>
      <c r="Q14" s="53"/>
      <c r="R14" s="53"/>
      <c r="S14" s="53">
        <v>344267</v>
      </c>
      <c r="T14" s="148"/>
      <c r="U14" s="53"/>
      <c r="V14" s="53"/>
      <c r="W14" s="53"/>
      <c r="X14" s="53"/>
      <c r="Y14" s="53"/>
      <c r="Z14" s="53"/>
      <c r="AA14"/>
      <c r="AB14"/>
      <c r="AC14"/>
      <c r="AD14"/>
      <c r="AE14"/>
      <c r="AF14"/>
      <c r="AG14"/>
      <c r="AH14"/>
      <c r="AI14"/>
      <c r="AJ14"/>
      <c r="AK14"/>
      <c r="AL14"/>
      <c r="AM14"/>
      <c r="AN14"/>
      <c r="AO14"/>
      <c r="AP14"/>
    </row>
    <row r="15" spans="1:42" hidden="1">
      <c r="A15" s="48" t="s">
        <v>94</v>
      </c>
      <c r="B15" s="46" t="s">
        <v>90</v>
      </c>
      <c r="C15" s="46" t="s">
        <v>100</v>
      </c>
      <c r="D15" s="46" t="s">
        <v>88</v>
      </c>
      <c r="E15" s="46" t="s">
        <v>101</v>
      </c>
      <c r="F15" s="46" t="s">
        <v>102</v>
      </c>
      <c r="G15" s="46"/>
      <c r="H15" s="46" t="s">
        <v>103</v>
      </c>
      <c r="I15" s="46">
        <v>-193259</v>
      </c>
      <c r="J15" s="46"/>
      <c r="K15" s="46">
        <v>-193259</v>
      </c>
      <c r="L15" s="46"/>
      <c r="M15" s="46"/>
      <c r="N15" s="53"/>
      <c r="O15" s="53"/>
      <c r="P15" s="53"/>
      <c r="Q15" s="53"/>
      <c r="R15" s="53"/>
      <c r="S15" s="53"/>
      <c r="T15" s="148"/>
      <c r="U15" s="53"/>
      <c r="V15" s="53"/>
      <c r="W15" s="53"/>
      <c r="X15" s="53"/>
      <c r="Y15" s="53"/>
      <c r="Z15" s="53"/>
      <c r="AA15"/>
      <c r="AB15"/>
      <c r="AC15"/>
      <c r="AD15"/>
      <c r="AE15"/>
      <c r="AF15"/>
      <c r="AG15"/>
      <c r="AH15"/>
      <c r="AI15"/>
      <c r="AJ15"/>
      <c r="AK15"/>
      <c r="AL15"/>
      <c r="AM15"/>
      <c r="AN15"/>
      <c r="AO15"/>
      <c r="AP15"/>
    </row>
    <row r="16" spans="1:42" hidden="1">
      <c r="A16" s="48" t="s">
        <v>107</v>
      </c>
      <c r="B16" s="46" t="s">
        <v>90</v>
      </c>
      <c r="C16" s="46" t="s">
        <v>117</v>
      </c>
      <c r="D16" s="46" t="s">
        <v>88</v>
      </c>
      <c r="E16" s="46" t="s">
        <v>93</v>
      </c>
      <c r="F16" s="46" t="s">
        <v>102</v>
      </c>
      <c r="G16" s="46"/>
      <c r="H16" s="46" t="s">
        <v>118</v>
      </c>
      <c r="I16" s="46">
        <v>-246348.83</v>
      </c>
      <c r="J16" s="46"/>
      <c r="K16" s="46"/>
      <c r="L16" s="46"/>
      <c r="M16" s="46"/>
      <c r="N16" s="53"/>
      <c r="O16" s="53"/>
      <c r="P16" s="53"/>
      <c r="Q16" s="53"/>
      <c r="R16" s="53"/>
      <c r="S16" s="53">
        <v>-246348.83</v>
      </c>
      <c r="T16" s="148"/>
      <c r="U16" s="53"/>
      <c r="V16" s="53"/>
      <c r="W16" s="53"/>
      <c r="X16" s="53"/>
      <c r="Y16" s="53"/>
      <c r="Z16" s="53"/>
      <c r="AA16"/>
      <c r="AB16"/>
      <c r="AC16"/>
      <c r="AD16"/>
      <c r="AE16"/>
      <c r="AF16"/>
      <c r="AG16"/>
      <c r="AH16"/>
      <c r="AI16"/>
      <c r="AJ16"/>
      <c r="AK16"/>
      <c r="AL16"/>
      <c r="AM16"/>
      <c r="AN16"/>
      <c r="AO16"/>
      <c r="AP16"/>
    </row>
    <row r="17" spans="1:42" hidden="1">
      <c r="A17" s="49" t="s">
        <v>107</v>
      </c>
      <c r="B17" s="50" t="s">
        <v>92</v>
      </c>
      <c r="C17" s="50" t="s">
        <v>105</v>
      </c>
      <c r="D17" s="50" t="s">
        <v>88</v>
      </c>
      <c r="E17" s="50" t="s">
        <v>93</v>
      </c>
      <c r="F17" s="50"/>
      <c r="G17" s="50"/>
      <c r="H17" s="50" t="s">
        <v>108</v>
      </c>
      <c r="I17" s="50">
        <v>-344267</v>
      </c>
      <c r="J17" s="50"/>
      <c r="K17" s="50"/>
      <c r="L17" s="50"/>
      <c r="M17" s="50"/>
      <c r="N17" s="53"/>
      <c r="O17" s="53"/>
      <c r="P17" s="53"/>
      <c r="Q17" s="53"/>
      <c r="R17" s="53"/>
      <c r="S17" s="53">
        <v>-344267</v>
      </c>
      <c r="T17" s="148"/>
      <c r="U17" s="53"/>
      <c r="V17" s="53"/>
      <c r="W17" s="53"/>
      <c r="X17" s="53"/>
      <c r="Y17" s="53"/>
      <c r="Z17" s="53"/>
      <c r="AA17"/>
      <c r="AB17"/>
      <c r="AC17"/>
      <c r="AD17"/>
      <c r="AE17"/>
      <c r="AF17"/>
      <c r="AG17"/>
      <c r="AH17"/>
      <c r="AI17"/>
      <c r="AJ17"/>
      <c r="AK17"/>
      <c r="AL17"/>
      <c r="AM17"/>
      <c r="AN17"/>
      <c r="AO17"/>
      <c r="AP17"/>
    </row>
    <row r="18" spans="1:42" hidden="1">
      <c r="A18" s="62" t="s">
        <v>102</v>
      </c>
      <c r="B18" s="63" t="s">
        <v>89</v>
      </c>
      <c r="C18" s="63" t="s">
        <v>114</v>
      </c>
      <c r="D18" s="63" t="s">
        <v>101</v>
      </c>
      <c r="E18" s="63" t="s">
        <v>88</v>
      </c>
      <c r="F18" s="63" t="s">
        <v>115</v>
      </c>
      <c r="G18" s="63"/>
      <c r="H18" s="63" t="s">
        <v>116</v>
      </c>
      <c r="I18" s="63">
        <v>105000</v>
      </c>
      <c r="J18" s="63"/>
      <c r="K18" s="63">
        <v>105000</v>
      </c>
      <c r="L18" s="63"/>
      <c r="M18" s="63"/>
      <c r="N18" s="92"/>
      <c r="O18" s="92"/>
      <c r="P18" s="92"/>
      <c r="Q18" s="92"/>
      <c r="R18" s="92"/>
      <c r="S18" s="92"/>
      <c r="T18" s="148"/>
      <c r="U18" s="92"/>
      <c r="V18" s="92"/>
      <c r="W18" s="53"/>
      <c r="X18" s="53"/>
      <c r="Y18" s="53"/>
      <c r="Z18" s="53"/>
      <c r="AA18"/>
      <c r="AB18"/>
      <c r="AC18"/>
      <c r="AD18"/>
      <c r="AE18"/>
      <c r="AF18"/>
      <c r="AG18"/>
      <c r="AH18"/>
      <c r="AI18"/>
      <c r="AJ18"/>
      <c r="AK18"/>
      <c r="AL18"/>
      <c r="AM18"/>
      <c r="AN18"/>
      <c r="AO18"/>
      <c r="AP18"/>
    </row>
    <row r="19" spans="1:42" hidden="1">
      <c r="A19" s="74" t="s">
        <v>102</v>
      </c>
      <c r="B19" s="76" t="s">
        <v>91</v>
      </c>
      <c r="C19" s="76" t="s">
        <v>100</v>
      </c>
      <c r="D19" s="76" t="s">
        <v>101</v>
      </c>
      <c r="E19" s="76" t="s">
        <v>88</v>
      </c>
      <c r="F19" s="76" t="s">
        <v>102</v>
      </c>
      <c r="G19" s="76"/>
      <c r="H19" s="76" t="s">
        <v>104</v>
      </c>
      <c r="I19" s="76">
        <v>193259</v>
      </c>
      <c r="J19" s="76"/>
      <c r="K19" s="76">
        <v>193259</v>
      </c>
      <c r="L19" s="76"/>
      <c r="M19" s="76"/>
      <c r="N19" s="93"/>
      <c r="O19" s="93"/>
      <c r="P19" s="93"/>
      <c r="Q19" s="93"/>
      <c r="R19" s="93"/>
      <c r="S19" s="93"/>
      <c r="T19" s="148"/>
      <c r="U19" s="93"/>
      <c r="V19" s="93"/>
      <c r="W19" s="53"/>
      <c r="X19" s="53"/>
      <c r="Y19" s="53"/>
      <c r="Z19" s="53"/>
      <c r="AE19"/>
      <c r="AF19"/>
      <c r="AG19"/>
      <c r="AH19"/>
      <c r="AI19"/>
      <c r="AJ19"/>
      <c r="AK19"/>
      <c r="AL19"/>
      <c r="AM19"/>
      <c r="AN19"/>
      <c r="AO19"/>
      <c r="AP19"/>
    </row>
    <row r="20" spans="1:42" hidden="1">
      <c r="A20" s="75" t="s">
        <v>102</v>
      </c>
      <c r="B20" s="77" t="s">
        <v>91</v>
      </c>
      <c r="C20" s="77" t="s">
        <v>117</v>
      </c>
      <c r="D20" s="77" t="s">
        <v>93</v>
      </c>
      <c r="E20" s="77" t="s">
        <v>88</v>
      </c>
      <c r="F20" s="77" t="s">
        <v>102</v>
      </c>
      <c r="G20" s="77"/>
      <c r="H20" s="77" t="s">
        <v>118</v>
      </c>
      <c r="I20" s="77">
        <v>246348.83</v>
      </c>
      <c r="J20" s="77"/>
      <c r="K20" s="77"/>
      <c r="L20" s="77"/>
      <c r="M20" s="77"/>
      <c r="N20" s="93"/>
      <c r="O20" s="93"/>
      <c r="P20" s="93"/>
      <c r="Q20" s="93"/>
      <c r="R20" s="93"/>
      <c r="S20" s="93">
        <v>246348.83</v>
      </c>
      <c r="T20" s="148"/>
      <c r="U20" s="93"/>
      <c r="V20" s="93"/>
      <c r="W20" s="53"/>
      <c r="X20" s="53"/>
      <c r="Y20" s="53"/>
      <c r="Z20" s="53"/>
      <c r="AA20" s="54"/>
      <c r="AB20" s="54"/>
      <c r="AC20" s="54"/>
      <c r="AD20" s="54"/>
      <c r="AE20"/>
      <c r="AF20"/>
      <c r="AG20"/>
      <c r="AH20"/>
      <c r="AI20"/>
      <c r="AJ20"/>
      <c r="AK20"/>
      <c r="AL20"/>
      <c r="AM20"/>
      <c r="AN20"/>
      <c r="AO20"/>
      <c r="AP20"/>
    </row>
    <row r="21" spans="1:42" hidden="1">
      <c r="A21" s="79" t="s">
        <v>115</v>
      </c>
      <c r="B21" s="80" t="s">
        <v>90</v>
      </c>
      <c r="C21" s="80" t="s">
        <v>120</v>
      </c>
      <c r="D21" s="80" t="s">
        <v>88</v>
      </c>
      <c r="E21" s="80" t="s">
        <v>93</v>
      </c>
      <c r="F21" s="80" t="s">
        <v>121</v>
      </c>
      <c r="G21" s="80" t="s">
        <v>122</v>
      </c>
      <c r="H21" s="80" t="s">
        <v>118</v>
      </c>
      <c r="I21" s="80">
        <v>-1101739</v>
      </c>
      <c r="J21" s="80"/>
      <c r="K21" s="80"/>
      <c r="L21" s="80"/>
      <c r="M21" s="80"/>
      <c r="N21" s="94"/>
      <c r="O21" s="94"/>
      <c r="P21" s="94"/>
      <c r="Q21" s="94"/>
      <c r="R21" s="94"/>
      <c r="S21" s="94">
        <v>-1101739</v>
      </c>
      <c r="T21" s="148"/>
      <c r="U21" s="94"/>
      <c r="V21" s="94"/>
      <c r="W21" s="53"/>
      <c r="X21" s="53"/>
      <c r="Y21" s="53"/>
      <c r="Z21" s="53"/>
      <c r="AE21"/>
      <c r="AF21"/>
      <c r="AG21"/>
      <c r="AH21"/>
      <c r="AI21"/>
      <c r="AJ21"/>
      <c r="AK21"/>
      <c r="AL21"/>
      <c r="AM21"/>
      <c r="AN21"/>
      <c r="AO21"/>
      <c r="AP21"/>
    </row>
    <row r="22" spans="1:42" hidden="1">
      <c r="A22" s="81" t="s">
        <v>115</v>
      </c>
      <c r="B22" s="82" t="s">
        <v>92</v>
      </c>
      <c r="C22" s="82" t="s">
        <v>114</v>
      </c>
      <c r="D22" s="82" t="s">
        <v>88</v>
      </c>
      <c r="E22" s="82" t="s">
        <v>101</v>
      </c>
      <c r="F22" s="82" t="s">
        <v>115</v>
      </c>
      <c r="G22" s="82"/>
      <c r="H22" s="82" t="s">
        <v>116</v>
      </c>
      <c r="I22" s="82">
        <v>-105000</v>
      </c>
      <c r="J22" s="82"/>
      <c r="K22" s="82">
        <v>-105000</v>
      </c>
      <c r="L22" s="82"/>
      <c r="M22" s="82"/>
      <c r="N22" s="94"/>
      <c r="O22" s="94"/>
      <c r="P22" s="94"/>
      <c r="Q22" s="94"/>
      <c r="R22" s="94"/>
      <c r="S22" s="94"/>
      <c r="T22" s="148"/>
      <c r="U22" s="94"/>
      <c r="V22" s="94"/>
      <c r="W22" s="53"/>
      <c r="X22" s="53"/>
      <c r="Y22" s="53"/>
      <c r="Z22" s="53"/>
      <c r="AE22"/>
      <c r="AF22"/>
      <c r="AG22"/>
      <c r="AH22"/>
      <c r="AI22"/>
      <c r="AJ22"/>
      <c r="AK22"/>
      <c r="AL22"/>
      <c r="AM22"/>
      <c r="AN22"/>
      <c r="AO22"/>
      <c r="AP22"/>
    </row>
    <row r="23" spans="1:42" hidden="1">
      <c r="A23" s="83" t="s">
        <v>115</v>
      </c>
      <c r="B23" s="85" t="s">
        <v>127</v>
      </c>
      <c r="C23" s="85" t="s">
        <v>128</v>
      </c>
      <c r="D23" s="85" t="s">
        <v>88</v>
      </c>
      <c r="E23" s="85" t="s">
        <v>93</v>
      </c>
      <c r="F23" s="85" t="s">
        <v>115</v>
      </c>
      <c r="G23" s="85" t="s">
        <v>129</v>
      </c>
      <c r="H23" s="85" t="s">
        <v>130</v>
      </c>
      <c r="I23" s="85">
        <v>-497651</v>
      </c>
      <c r="J23" s="85"/>
      <c r="K23" s="85">
        <v>-497651</v>
      </c>
      <c r="L23" s="85"/>
      <c r="M23" s="85"/>
      <c r="N23" s="22"/>
      <c r="O23" s="22"/>
      <c r="P23" s="22"/>
      <c r="Q23" s="22"/>
      <c r="R23" s="22"/>
      <c r="S23" s="22"/>
      <c r="T23" s="148"/>
      <c r="U23" s="22"/>
      <c r="V23" s="22"/>
      <c r="W23" s="53"/>
      <c r="X23" s="53"/>
      <c r="Y23" s="53"/>
      <c r="Z23" s="53"/>
      <c r="AE23"/>
      <c r="AF23"/>
      <c r="AG23"/>
      <c r="AH23"/>
      <c r="AI23"/>
      <c r="AJ23"/>
      <c r="AK23"/>
      <c r="AL23"/>
      <c r="AM23"/>
      <c r="AN23"/>
      <c r="AO23"/>
      <c r="AP23"/>
    </row>
    <row r="24" spans="1:42" hidden="1">
      <c r="A24" s="84" t="s">
        <v>121</v>
      </c>
      <c r="B24" s="86" t="s">
        <v>90</v>
      </c>
      <c r="C24" s="86" t="s">
        <v>141</v>
      </c>
      <c r="D24" s="86" t="s">
        <v>88</v>
      </c>
      <c r="E24" s="86" t="s">
        <v>93</v>
      </c>
      <c r="F24" s="86" t="s">
        <v>97</v>
      </c>
      <c r="G24" s="86" t="s">
        <v>142</v>
      </c>
      <c r="H24" s="86" t="s">
        <v>143</v>
      </c>
      <c r="I24" s="86">
        <v>-194712</v>
      </c>
      <c r="J24" s="86"/>
      <c r="K24" s="86"/>
      <c r="L24" s="86"/>
      <c r="M24" s="86"/>
      <c r="N24" s="22"/>
      <c r="O24" s="22"/>
      <c r="P24" s="22">
        <v>-194712</v>
      </c>
      <c r="Q24" s="22"/>
      <c r="R24" s="22"/>
      <c r="S24" s="22"/>
      <c r="T24" s="148"/>
      <c r="U24" s="22"/>
      <c r="V24" s="22"/>
      <c r="W24" s="53"/>
      <c r="X24" s="53"/>
      <c r="Y24" s="53"/>
      <c r="Z24" s="53"/>
      <c r="AE24"/>
      <c r="AF24"/>
      <c r="AG24"/>
      <c r="AH24"/>
      <c r="AI24"/>
      <c r="AJ24"/>
      <c r="AK24"/>
      <c r="AL24"/>
      <c r="AM24"/>
      <c r="AN24"/>
      <c r="AO24"/>
      <c r="AP24"/>
    </row>
    <row r="25" spans="1:42" hidden="1">
      <c r="A25" s="16" t="s">
        <v>121</v>
      </c>
      <c r="B25" s="16" t="s">
        <v>90</v>
      </c>
      <c r="C25" s="16" t="s">
        <v>150</v>
      </c>
      <c r="D25" s="16" t="s">
        <v>88</v>
      </c>
      <c r="E25" s="16" t="s">
        <v>93</v>
      </c>
      <c r="F25" s="16" t="s">
        <v>97</v>
      </c>
      <c r="G25" s="16" t="s">
        <v>151</v>
      </c>
      <c r="H25" s="16" t="s">
        <v>118</v>
      </c>
      <c r="I25" s="16">
        <v>-61559.01</v>
      </c>
      <c r="S25" s="16">
        <v>-61559.01</v>
      </c>
      <c r="T25" s="149"/>
      <c r="W25" s="53"/>
      <c r="X25" s="53"/>
      <c r="Y25" s="53"/>
      <c r="Z25" s="53"/>
      <c r="AE25"/>
      <c r="AF25"/>
      <c r="AG25"/>
      <c r="AH25"/>
      <c r="AI25"/>
      <c r="AJ25"/>
      <c r="AK25"/>
      <c r="AL25"/>
      <c r="AM25"/>
      <c r="AN25"/>
      <c r="AO25"/>
      <c r="AP25"/>
    </row>
    <row r="26" spans="1:42" hidden="1">
      <c r="A26" s="16" t="s">
        <v>121</v>
      </c>
      <c r="B26" s="16" t="s">
        <v>91</v>
      </c>
      <c r="C26" s="16" t="s">
        <v>120</v>
      </c>
      <c r="D26" s="16" t="s">
        <v>93</v>
      </c>
      <c r="E26" s="16" t="s">
        <v>88</v>
      </c>
      <c r="F26" s="16" t="s">
        <v>121</v>
      </c>
      <c r="G26" s="16" t="s">
        <v>122</v>
      </c>
      <c r="H26" s="16" t="s">
        <v>118</v>
      </c>
      <c r="I26" s="16">
        <v>1101739</v>
      </c>
      <c r="S26" s="16">
        <v>1101739</v>
      </c>
      <c r="T26" s="148"/>
      <c r="U26" s="22"/>
      <c r="V26" s="22"/>
      <c r="W26" s="53"/>
      <c r="X26" s="53"/>
      <c r="Y26" s="53"/>
      <c r="Z26" s="53"/>
      <c r="AE26"/>
      <c r="AF26"/>
      <c r="AG26"/>
      <c r="AH26"/>
      <c r="AI26"/>
      <c r="AJ26"/>
      <c r="AK26"/>
      <c r="AL26"/>
      <c r="AM26"/>
      <c r="AN26"/>
      <c r="AO26"/>
      <c r="AP26"/>
    </row>
    <row r="27" spans="1:42" hidden="1">
      <c r="A27" s="16" t="s">
        <v>121</v>
      </c>
      <c r="B27" s="16" t="s">
        <v>144</v>
      </c>
      <c r="C27" s="16" t="s">
        <v>145</v>
      </c>
      <c r="D27" s="16" t="s">
        <v>93</v>
      </c>
      <c r="E27" s="16" t="s">
        <v>88</v>
      </c>
      <c r="F27" s="16" t="s">
        <v>121</v>
      </c>
      <c r="G27" s="16" t="s">
        <v>134</v>
      </c>
      <c r="H27" s="16" t="s">
        <v>146</v>
      </c>
      <c r="I27" s="16">
        <v>962542</v>
      </c>
      <c r="J27" s="16">
        <v>962542</v>
      </c>
      <c r="T27" s="149"/>
      <c r="W27" s="53"/>
      <c r="X27" s="53"/>
      <c r="Y27" s="53"/>
      <c r="Z27" s="53"/>
      <c r="AE27"/>
      <c r="AF27"/>
      <c r="AG27"/>
      <c r="AH27"/>
      <c r="AI27"/>
      <c r="AJ27"/>
      <c r="AK27"/>
      <c r="AL27"/>
      <c r="AM27"/>
      <c r="AN27"/>
      <c r="AO27"/>
      <c r="AP27"/>
    </row>
    <row r="28" spans="1:42" hidden="1">
      <c r="A28" s="16" t="s">
        <v>121</v>
      </c>
      <c r="B28" s="16" t="s">
        <v>144</v>
      </c>
      <c r="C28" s="16" t="s">
        <v>147</v>
      </c>
      <c r="D28" s="16" t="s">
        <v>93</v>
      </c>
      <c r="E28" s="16" t="s">
        <v>88</v>
      </c>
      <c r="F28" s="16" t="s">
        <v>121</v>
      </c>
      <c r="G28" s="16" t="s">
        <v>140</v>
      </c>
      <c r="H28" s="16" t="s">
        <v>146</v>
      </c>
      <c r="I28" s="16">
        <v>152002</v>
      </c>
      <c r="J28" s="16">
        <v>152002</v>
      </c>
      <c r="T28" s="148"/>
      <c r="U28" s="22"/>
      <c r="V28" s="22"/>
      <c r="W28" s="53"/>
      <c r="X28" s="53"/>
      <c r="Y28" s="53"/>
      <c r="Z28" s="53"/>
      <c r="AE28"/>
      <c r="AF28"/>
      <c r="AG28"/>
      <c r="AH28"/>
      <c r="AI28"/>
      <c r="AJ28"/>
      <c r="AK28"/>
      <c r="AL28"/>
      <c r="AM28"/>
      <c r="AN28"/>
      <c r="AO28"/>
      <c r="AP28"/>
    </row>
    <row r="29" spans="1:42" hidden="1">
      <c r="A29" s="16" t="s">
        <v>121</v>
      </c>
      <c r="B29" s="16" t="s">
        <v>127</v>
      </c>
      <c r="C29" s="16" t="s">
        <v>145</v>
      </c>
      <c r="D29" s="16" t="s">
        <v>88</v>
      </c>
      <c r="E29" s="16" t="s">
        <v>93</v>
      </c>
      <c r="F29" s="16" t="s">
        <v>121</v>
      </c>
      <c r="G29" s="16" t="s">
        <v>134</v>
      </c>
      <c r="H29" s="16" t="s">
        <v>148</v>
      </c>
      <c r="I29" s="16">
        <v>-1069491</v>
      </c>
      <c r="S29" s="16">
        <v>-1069491</v>
      </c>
      <c r="T29" s="148"/>
      <c r="U29" s="22"/>
      <c r="V29" s="22"/>
      <c r="W29" s="53"/>
      <c r="X29" s="53"/>
      <c r="Y29" s="53"/>
      <c r="Z29" s="53"/>
      <c r="AE29"/>
      <c r="AF29"/>
      <c r="AG29"/>
      <c r="AH29"/>
      <c r="AI29"/>
      <c r="AJ29"/>
      <c r="AK29"/>
      <c r="AL29"/>
      <c r="AM29"/>
      <c r="AN29"/>
      <c r="AO29"/>
      <c r="AP29"/>
    </row>
    <row r="30" spans="1:42" hidden="1">
      <c r="A30" s="16" t="s">
        <v>121</v>
      </c>
      <c r="B30" s="16" t="s">
        <v>127</v>
      </c>
      <c r="C30" s="16" t="s">
        <v>147</v>
      </c>
      <c r="D30" s="16" t="s">
        <v>88</v>
      </c>
      <c r="E30" s="16" t="s">
        <v>93</v>
      </c>
      <c r="F30" s="16" t="s">
        <v>121</v>
      </c>
      <c r="G30" s="16" t="s">
        <v>140</v>
      </c>
      <c r="H30" s="16" t="s">
        <v>149</v>
      </c>
      <c r="I30" s="16">
        <v>-168891</v>
      </c>
      <c r="P30" s="16">
        <v>-168891</v>
      </c>
      <c r="T30" s="148"/>
      <c r="U30" s="22"/>
      <c r="V30" s="22"/>
      <c r="W30" s="53"/>
      <c r="X30" s="53"/>
      <c r="Y30" s="53"/>
      <c r="Z30" s="53"/>
      <c r="AE30"/>
      <c r="AF30"/>
      <c r="AG30"/>
      <c r="AH30"/>
      <c r="AI30"/>
      <c r="AJ30"/>
      <c r="AK30"/>
      <c r="AL30"/>
      <c r="AM30"/>
      <c r="AN30"/>
      <c r="AO30"/>
      <c r="AP30"/>
    </row>
    <row r="31" spans="1:42" hidden="1">
      <c r="A31" s="16" t="s">
        <v>97</v>
      </c>
      <c r="B31" s="16" t="s">
        <v>90</v>
      </c>
      <c r="C31" s="16" t="s">
        <v>152</v>
      </c>
      <c r="D31" s="16" t="s">
        <v>88</v>
      </c>
      <c r="E31" s="16" t="s">
        <v>93</v>
      </c>
      <c r="F31" s="16" t="s">
        <v>153</v>
      </c>
      <c r="G31" s="16" t="s">
        <v>154</v>
      </c>
      <c r="H31" s="16" t="s">
        <v>143</v>
      </c>
      <c r="I31" s="16">
        <v>-4570.72</v>
      </c>
      <c r="P31" s="16">
        <v>-4570.72</v>
      </c>
      <c r="T31" s="149"/>
      <c r="W31" s="53"/>
      <c r="X31" s="53"/>
      <c r="Y31" s="53"/>
      <c r="Z31" s="53"/>
      <c r="AE31"/>
      <c r="AF31"/>
      <c r="AG31"/>
      <c r="AH31"/>
      <c r="AI31"/>
      <c r="AJ31"/>
      <c r="AK31"/>
      <c r="AL31"/>
      <c r="AM31"/>
      <c r="AN31"/>
      <c r="AO31"/>
      <c r="AP31"/>
    </row>
    <row r="32" spans="1:42" hidden="1">
      <c r="A32" s="101" t="s">
        <v>97</v>
      </c>
      <c r="B32" s="101" t="s">
        <v>91</v>
      </c>
      <c r="C32" s="101" t="s">
        <v>141</v>
      </c>
      <c r="D32" s="101" t="s">
        <v>93</v>
      </c>
      <c r="E32" s="101" t="s">
        <v>88</v>
      </c>
      <c r="F32" s="101" t="s">
        <v>97</v>
      </c>
      <c r="G32" s="101" t="s">
        <v>142</v>
      </c>
      <c r="H32" s="101" t="s">
        <v>143</v>
      </c>
      <c r="I32" s="101">
        <v>194712</v>
      </c>
      <c r="J32" s="101"/>
      <c r="K32" s="101"/>
      <c r="L32" s="101"/>
      <c r="M32" s="101"/>
      <c r="N32" s="101"/>
      <c r="O32" s="101"/>
      <c r="P32" s="101">
        <v>194712</v>
      </c>
      <c r="Q32" s="101"/>
      <c r="R32" s="101"/>
      <c r="S32" s="101"/>
      <c r="T32" s="148"/>
      <c r="U32" s="22"/>
      <c r="V32" s="22"/>
      <c r="W32" s="53"/>
      <c r="X32" s="53"/>
      <c r="Y32" s="53"/>
      <c r="Z32" s="53"/>
      <c r="AE32"/>
      <c r="AF32"/>
      <c r="AG32"/>
      <c r="AH32"/>
      <c r="AI32"/>
      <c r="AJ32"/>
      <c r="AK32"/>
      <c r="AL32"/>
      <c r="AM32"/>
      <c r="AN32"/>
      <c r="AO32"/>
      <c r="AP32"/>
    </row>
    <row r="33" spans="1:42" hidden="1">
      <c r="A33" s="101" t="s">
        <v>97</v>
      </c>
      <c r="B33" s="101" t="s">
        <v>91</v>
      </c>
      <c r="C33" s="101" t="s">
        <v>150</v>
      </c>
      <c r="D33" s="101" t="s">
        <v>93</v>
      </c>
      <c r="E33" s="101" t="s">
        <v>88</v>
      </c>
      <c r="F33" s="101" t="s">
        <v>97</v>
      </c>
      <c r="G33" s="101" t="s">
        <v>151</v>
      </c>
      <c r="H33" s="101" t="s">
        <v>118</v>
      </c>
      <c r="I33" s="101">
        <v>61559.01</v>
      </c>
      <c r="J33" s="101"/>
      <c r="K33" s="101"/>
      <c r="L33" s="101"/>
      <c r="M33" s="101"/>
      <c r="N33" s="101"/>
      <c r="O33" s="101">
        <v>61559.01</v>
      </c>
      <c r="P33" s="101"/>
      <c r="Q33" s="101"/>
      <c r="R33" s="101"/>
      <c r="S33" s="101"/>
      <c r="T33" s="149"/>
      <c r="W33" s="53"/>
      <c r="X33" s="53"/>
      <c r="Y33" s="53"/>
      <c r="Z33" s="53"/>
      <c r="AE33"/>
      <c r="AF33"/>
      <c r="AG33"/>
      <c r="AH33"/>
      <c r="AI33"/>
      <c r="AJ33"/>
      <c r="AK33"/>
      <c r="AL33"/>
      <c r="AM33"/>
      <c r="AN33"/>
      <c r="AO33"/>
      <c r="AP33"/>
    </row>
    <row r="34" spans="1:42" hidden="1">
      <c r="A34" s="102" t="s">
        <v>97</v>
      </c>
      <c r="B34" s="102" t="s">
        <v>92</v>
      </c>
      <c r="C34" s="102" t="s">
        <v>95</v>
      </c>
      <c r="D34" s="102" t="s">
        <v>88</v>
      </c>
      <c r="E34" s="102" t="s">
        <v>96</v>
      </c>
      <c r="F34" s="102" t="s">
        <v>97</v>
      </c>
      <c r="G34" s="102"/>
      <c r="H34" s="102" t="s">
        <v>99</v>
      </c>
      <c r="I34" s="102">
        <v>-185000</v>
      </c>
      <c r="J34" s="102"/>
      <c r="K34" s="102"/>
      <c r="L34" s="102"/>
      <c r="M34" s="102"/>
      <c r="N34" s="102"/>
      <c r="O34" s="102"/>
      <c r="P34" s="102">
        <v>-185000</v>
      </c>
      <c r="Q34" s="102"/>
      <c r="R34" s="102"/>
      <c r="S34" s="102"/>
      <c r="T34" s="148"/>
      <c r="U34" s="22"/>
      <c r="V34" s="22"/>
      <c r="W34" s="53"/>
      <c r="X34" s="53"/>
      <c r="Y34" s="53"/>
      <c r="Z34" s="53"/>
      <c r="AE34"/>
      <c r="AF34"/>
      <c r="AG34"/>
      <c r="AH34"/>
      <c r="AI34"/>
      <c r="AJ34"/>
      <c r="AK34"/>
      <c r="AL34"/>
      <c r="AM34"/>
      <c r="AN34"/>
      <c r="AO34"/>
      <c r="AP34"/>
    </row>
    <row r="35" spans="1:42" hidden="1">
      <c r="A35" s="102" t="s">
        <v>153</v>
      </c>
      <c r="B35" s="102" t="s">
        <v>90</v>
      </c>
      <c r="C35" s="102" t="s">
        <v>157</v>
      </c>
      <c r="D35" s="102" t="s">
        <v>88</v>
      </c>
      <c r="E35" s="102" t="s">
        <v>93</v>
      </c>
      <c r="F35" s="102" t="s">
        <v>158</v>
      </c>
      <c r="G35" s="102" t="s">
        <v>159</v>
      </c>
      <c r="H35" s="102" t="s">
        <v>143</v>
      </c>
      <c r="I35" s="102">
        <v>-186549.93</v>
      </c>
      <c r="J35" s="102"/>
      <c r="K35" s="102"/>
      <c r="L35" s="102"/>
      <c r="M35" s="102"/>
      <c r="N35" s="102"/>
      <c r="O35" s="102"/>
      <c r="P35" s="102"/>
      <c r="Q35" s="102"/>
      <c r="R35" s="102"/>
      <c r="S35" s="102">
        <v>-186549.93</v>
      </c>
      <c r="T35" s="149"/>
      <c r="W35" s="53"/>
      <c r="X35" s="53"/>
      <c r="Y35" s="53"/>
      <c r="Z35" s="53"/>
      <c r="AE35"/>
      <c r="AF35"/>
      <c r="AG35"/>
      <c r="AH35"/>
      <c r="AI35"/>
      <c r="AJ35"/>
      <c r="AK35"/>
      <c r="AL35"/>
      <c r="AM35"/>
      <c r="AN35"/>
      <c r="AO35"/>
      <c r="AP35"/>
    </row>
    <row r="36" spans="1:42" hidden="1">
      <c r="A36" s="16" t="s">
        <v>153</v>
      </c>
      <c r="B36" s="16" t="s">
        <v>91</v>
      </c>
      <c r="C36" s="16" t="s">
        <v>152</v>
      </c>
      <c r="D36" s="16" t="s">
        <v>93</v>
      </c>
      <c r="E36" s="16" t="s">
        <v>88</v>
      </c>
      <c r="F36" s="16" t="s">
        <v>153</v>
      </c>
      <c r="G36" s="16" t="s">
        <v>154</v>
      </c>
      <c r="H36" s="16" t="s">
        <v>143</v>
      </c>
      <c r="I36" s="16">
        <v>4570.72</v>
      </c>
      <c r="P36" s="16">
        <v>4570.72</v>
      </c>
      <c r="T36" s="148"/>
      <c r="U36" s="22"/>
      <c r="V36" s="22"/>
      <c r="W36" s="53"/>
      <c r="X36" s="53"/>
      <c r="Y36" s="53"/>
      <c r="Z36" s="53"/>
      <c r="AE36"/>
      <c r="AF36"/>
      <c r="AG36"/>
      <c r="AH36"/>
      <c r="AI36"/>
      <c r="AJ36"/>
      <c r="AK36"/>
      <c r="AL36"/>
      <c r="AM36"/>
      <c r="AN36"/>
      <c r="AO36"/>
      <c r="AP36"/>
    </row>
    <row r="37" spans="1:42" hidden="1">
      <c r="A37" s="16" t="s">
        <v>153</v>
      </c>
      <c r="B37" s="16" t="s">
        <v>144</v>
      </c>
      <c r="C37" s="16" t="s">
        <v>160</v>
      </c>
      <c r="D37" s="16" t="s">
        <v>93</v>
      </c>
      <c r="E37" s="16" t="s">
        <v>88</v>
      </c>
      <c r="F37" s="16" t="s">
        <v>153</v>
      </c>
      <c r="G37" s="16" t="s">
        <v>156</v>
      </c>
      <c r="H37" s="16" t="s">
        <v>146</v>
      </c>
      <c r="I37" s="16">
        <v>700000</v>
      </c>
      <c r="J37" s="16">
        <v>700000</v>
      </c>
      <c r="T37" s="148"/>
      <c r="U37" s="22"/>
      <c r="V37" s="22"/>
      <c r="W37" s="53"/>
      <c r="X37" s="53"/>
      <c r="Y37" s="53"/>
      <c r="Z37" s="53"/>
      <c r="AE37"/>
      <c r="AF37"/>
      <c r="AG37"/>
      <c r="AH37"/>
      <c r="AI37"/>
      <c r="AJ37"/>
      <c r="AK37"/>
      <c r="AL37"/>
      <c r="AM37"/>
      <c r="AN37"/>
      <c r="AO37"/>
      <c r="AP37"/>
    </row>
    <row r="38" spans="1:42" hidden="1">
      <c r="A38" s="16" t="s">
        <v>153</v>
      </c>
      <c r="B38" s="16" t="s">
        <v>127</v>
      </c>
      <c r="C38" s="16" t="s">
        <v>160</v>
      </c>
      <c r="D38" s="16" t="s">
        <v>88</v>
      </c>
      <c r="E38" s="16" t="s">
        <v>93</v>
      </c>
      <c r="F38" s="16" t="s">
        <v>153</v>
      </c>
      <c r="G38" s="16" t="s">
        <v>156</v>
      </c>
      <c r="H38" s="16" t="s">
        <v>146</v>
      </c>
      <c r="I38" s="16">
        <v>-777778</v>
      </c>
      <c r="P38" s="16">
        <v>-777778</v>
      </c>
      <c r="T38" s="148"/>
      <c r="U38" s="22"/>
      <c r="V38" s="22"/>
      <c r="W38" s="53"/>
      <c r="X38" s="53"/>
      <c r="Y38" s="53"/>
      <c r="Z38" s="53"/>
      <c r="AE38"/>
      <c r="AF38"/>
      <c r="AG38"/>
      <c r="AH38"/>
      <c r="AI38"/>
      <c r="AJ38"/>
      <c r="AK38"/>
      <c r="AL38"/>
      <c r="AM38"/>
      <c r="AN38"/>
      <c r="AO38"/>
      <c r="AP38"/>
    </row>
    <row r="39" spans="1:42" hidden="1">
      <c r="A39" s="16" t="s">
        <v>158</v>
      </c>
      <c r="B39" s="16" t="s">
        <v>90</v>
      </c>
      <c r="C39" s="16" t="s">
        <v>161</v>
      </c>
      <c r="D39" s="16" t="s">
        <v>88</v>
      </c>
      <c r="E39" s="16" t="s">
        <v>93</v>
      </c>
      <c r="F39" s="16" t="s">
        <v>162</v>
      </c>
      <c r="G39" s="16" t="s">
        <v>159</v>
      </c>
      <c r="H39" s="16" t="s">
        <v>143</v>
      </c>
      <c r="I39" s="16">
        <v>-1245541.73</v>
      </c>
      <c r="O39" s="16">
        <v>-129983</v>
      </c>
      <c r="P39" s="16">
        <v>-950246</v>
      </c>
      <c r="S39" s="16">
        <v>-165312.73000000001</v>
      </c>
      <c r="T39" s="148"/>
      <c r="U39" s="22"/>
      <c r="V39" s="22"/>
      <c r="W39" s="53"/>
      <c r="X39" s="53"/>
      <c r="Y39" s="53"/>
      <c r="Z39" s="53"/>
      <c r="AE39"/>
      <c r="AF39"/>
      <c r="AG39"/>
      <c r="AH39"/>
      <c r="AI39"/>
      <c r="AJ39"/>
      <c r="AK39"/>
      <c r="AL39"/>
      <c r="AM39"/>
      <c r="AN39"/>
      <c r="AO39"/>
      <c r="AP39"/>
    </row>
    <row r="40" spans="1:42" hidden="1">
      <c r="A40" s="16" t="s">
        <v>158</v>
      </c>
      <c r="B40" s="16" t="s">
        <v>91</v>
      </c>
      <c r="C40" s="16" t="s">
        <v>157</v>
      </c>
      <c r="D40" s="16" t="s">
        <v>93</v>
      </c>
      <c r="E40" s="16" t="s">
        <v>88</v>
      </c>
      <c r="F40" s="16" t="s">
        <v>158</v>
      </c>
      <c r="G40" s="16" t="s">
        <v>159</v>
      </c>
      <c r="H40" s="16" t="s">
        <v>143</v>
      </c>
      <c r="I40" s="16">
        <v>186549.93</v>
      </c>
      <c r="S40" s="16">
        <v>186549.93</v>
      </c>
      <c r="T40" s="148"/>
      <c r="U40" s="22"/>
      <c r="V40" s="22"/>
      <c r="W40" s="53"/>
      <c r="X40" s="53"/>
      <c r="Y40" s="53"/>
      <c r="Z40" s="53"/>
      <c r="AE40"/>
      <c r="AF40"/>
      <c r="AG40"/>
      <c r="AH40"/>
      <c r="AI40"/>
      <c r="AJ40"/>
      <c r="AK40"/>
      <c r="AL40"/>
      <c r="AM40"/>
      <c r="AN40"/>
      <c r="AO40"/>
      <c r="AP40"/>
    </row>
    <row r="41" spans="1:42" hidden="1">
      <c r="A41" s="16" t="s">
        <v>162</v>
      </c>
      <c r="B41" s="16" t="s">
        <v>90</v>
      </c>
      <c r="C41" s="16" t="s">
        <v>183</v>
      </c>
      <c r="D41" s="16" t="s">
        <v>88</v>
      </c>
      <c r="E41" s="16" t="s">
        <v>93</v>
      </c>
      <c r="F41" s="16" t="s">
        <v>184</v>
      </c>
      <c r="G41" s="16" t="s">
        <v>200</v>
      </c>
      <c r="H41" s="16" t="s">
        <v>198</v>
      </c>
      <c r="I41" s="16">
        <v>-292098.40000000002</v>
      </c>
      <c r="T41" s="149">
        <v>-292098.40000000002</v>
      </c>
      <c r="W41" s="53"/>
      <c r="X41" s="53"/>
      <c r="Y41" s="53"/>
      <c r="Z41" s="53"/>
      <c r="AE41"/>
      <c r="AF41"/>
      <c r="AG41"/>
      <c r="AH41"/>
      <c r="AI41"/>
      <c r="AJ41"/>
      <c r="AK41"/>
      <c r="AL41"/>
      <c r="AM41"/>
      <c r="AN41"/>
      <c r="AO41"/>
      <c r="AP41"/>
    </row>
    <row r="42" spans="1:42" hidden="1">
      <c r="A42" s="137" t="s">
        <v>162</v>
      </c>
      <c r="B42" s="137" t="s">
        <v>90</v>
      </c>
      <c r="C42" s="137" t="s">
        <v>183</v>
      </c>
      <c r="D42" s="137" t="s">
        <v>88</v>
      </c>
      <c r="E42" s="137" t="s">
        <v>93</v>
      </c>
      <c r="F42" s="137" t="s">
        <v>184</v>
      </c>
      <c r="G42" s="137" t="s">
        <v>199</v>
      </c>
      <c r="H42" s="137" t="s">
        <v>143</v>
      </c>
      <c r="I42" s="137">
        <v>-8178.36</v>
      </c>
      <c r="J42" s="137"/>
      <c r="K42" s="137"/>
      <c r="L42" s="137"/>
      <c r="M42" s="137"/>
      <c r="N42" s="137"/>
      <c r="O42" s="137">
        <v>-8178.36</v>
      </c>
      <c r="P42" s="137"/>
      <c r="Q42" s="137"/>
      <c r="R42" s="137"/>
      <c r="S42" s="137"/>
      <c r="T42" s="148"/>
      <c r="U42" s="22"/>
      <c r="V42" s="22"/>
      <c r="W42" s="53"/>
      <c r="X42" s="53"/>
      <c r="Y42" s="53"/>
      <c r="Z42" s="53"/>
      <c r="AE42"/>
      <c r="AF42"/>
      <c r="AG42"/>
      <c r="AH42"/>
      <c r="AI42"/>
      <c r="AJ42"/>
      <c r="AK42"/>
      <c r="AL42"/>
      <c r="AM42"/>
      <c r="AN42"/>
      <c r="AO42"/>
      <c r="AP42"/>
    </row>
    <row r="43" spans="1:42" hidden="1">
      <c r="A43" s="137" t="s">
        <v>162</v>
      </c>
      <c r="B43" s="137" t="s">
        <v>91</v>
      </c>
      <c r="C43" s="137" t="s">
        <v>161</v>
      </c>
      <c r="D43" s="137" t="s">
        <v>93</v>
      </c>
      <c r="E43" s="137" t="s">
        <v>88</v>
      </c>
      <c r="F43" s="137" t="s">
        <v>162</v>
      </c>
      <c r="G43" s="137" t="s">
        <v>159</v>
      </c>
      <c r="H43" s="137" t="s">
        <v>143</v>
      </c>
      <c r="I43" s="137">
        <v>1245541.73</v>
      </c>
      <c r="J43" s="137"/>
      <c r="K43" s="137"/>
      <c r="L43" s="137"/>
      <c r="M43" s="137"/>
      <c r="N43" s="137"/>
      <c r="O43" s="137"/>
      <c r="P43" s="137"/>
      <c r="Q43" s="137"/>
      <c r="R43" s="137"/>
      <c r="S43" s="137">
        <v>1245541.73</v>
      </c>
      <c r="T43" s="149"/>
      <c r="W43" s="53"/>
      <c r="X43" s="53"/>
      <c r="Y43" s="53"/>
      <c r="Z43" s="53"/>
      <c r="AE43"/>
      <c r="AF43"/>
      <c r="AG43"/>
      <c r="AH43"/>
      <c r="AI43"/>
      <c r="AJ43"/>
      <c r="AK43"/>
      <c r="AL43"/>
      <c r="AM43"/>
      <c r="AN43"/>
      <c r="AO43"/>
      <c r="AP43"/>
    </row>
    <row r="44" spans="1:42" hidden="1">
      <c r="A44" s="16" t="s">
        <v>162</v>
      </c>
      <c r="B44" s="16" t="s">
        <v>144</v>
      </c>
      <c r="C44" s="16" t="s">
        <v>177</v>
      </c>
      <c r="D44" s="16" t="s">
        <v>93</v>
      </c>
      <c r="E44" s="16" t="s">
        <v>88</v>
      </c>
      <c r="F44" s="16" t="s">
        <v>162</v>
      </c>
      <c r="G44" s="16" t="s">
        <v>163</v>
      </c>
      <c r="H44" s="16" t="s">
        <v>146</v>
      </c>
      <c r="I44" s="16">
        <v>810000</v>
      </c>
      <c r="J44" s="16">
        <v>810000</v>
      </c>
      <c r="T44" s="148"/>
      <c r="U44" s="22"/>
      <c r="V44" s="22"/>
      <c r="W44" s="53"/>
      <c r="X44" s="53"/>
      <c r="Y44" s="53"/>
      <c r="Z44" s="53"/>
      <c r="AE44"/>
      <c r="AF44"/>
      <c r="AG44"/>
      <c r="AH44"/>
      <c r="AI44"/>
      <c r="AJ44"/>
      <c r="AK44"/>
      <c r="AL44"/>
      <c r="AM44"/>
      <c r="AN44"/>
      <c r="AO44"/>
      <c r="AP44"/>
    </row>
    <row r="45" spans="1:42" hidden="1">
      <c r="A45" s="16" t="s">
        <v>162</v>
      </c>
      <c r="B45" s="16" t="s">
        <v>144</v>
      </c>
      <c r="C45" s="16" t="s">
        <v>201</v>
      </c>
      <c r="D45" s="16" t="s">
        <v>93</v>
      </c>
      <c r="E45" s="16" t="s">
        <v>88</v>
      </c>
      <c r="F45" s="16" t="s">
        <v>162</v>
      </c>
      <c r="G45" s="16" t="s">
        <v>182</v>
      </c>
      <c r="H45" s="16" t="s">
        <v>204</v>
      </c>
      <c r="I45" s="16">
        <v>1211183</v>
      </c>
      <c r="J45" s="16">
        <v>1211183</v>
      </c>
      <c r="T45" s="148"/>
      <c r="U45" s="22"/>
      <c r="V45" s="22"/>
      <c r="W45" s="53"/>
      <c r="X45" s="53"/>
      <c r="Y45" s="53"/>
      <c r="Z45" s="53"/>
      <c r="AE45"/>
      <c r="AF45"/>
      <c r="AG45"/>
      <c r="AH45"/>
      <c r="AI45"/>
      <c r="AJ45"/>
      <c r="AK45"/>
      <c r="AL45"/>
      <c r="AM45"/>
      <c r="AN45"/>
      <c r="AO45"/>
      <c r="AP45"/>
    </row>
    <row r="46" spans="1:42" hidden="1">
      <c r="A46" s="16" t="s">
        <v>162</v>
      </c>
      <c r="B46" s="16" t="s">
        <v>127</v>
      </c>
      <c r="C46" s="16" t="s">
        <v>177</v>
      </c>
      <c r="D46" s="16" t="s">
        <v>88</v>
      </c>
      <c r="E46" s="16" t="s">
        <v>93</v>
      </c>
      <c r="F46" s="16" t="s">
        <v>162</v>
      </c>
      <c r="G46" s="16" t="s">
        <v>163</v>
      </c>
      <c r="H46" s="16" t="s">
        <v>178</v>
      </c>
      <c r="I46" s="16">
        <v>-900000</v>
      </c>
      <c r="P46" s="16">
        <v>-900000</v>
      </c>
      <c r="T46" s="148"/>
      <c r="U46" s="22"/>
      <c r="V46" s="22"/>
      <c r="W46" s="53"/>
      <c r="X46" s="53"/>
      <c r="Y46" s="53"/>
      <c r="Z46" s="53"/>
      <c r="AE46"/>
      <c r="AF46"/>
      <c r="AG46"/>
      <c r="AH46"/>
      <c r="AI46"/>
      <c r="AJ46"/>
      <c r="AK46"/>
      <c r="AL46"/>
      <c r="AM46"/>
      <c r="AN46"/>
      <c r="AO46"/>
      <c r="AP46"/>
    </row>
    <row r="47" spans="1:42" hidden="1">
      <c r="A47" s="16" t="s">
        <v>162</v>
      </c>
      <c r="B47" s="16" t="s">
        <v>127</v>
      </c>
      <c r="C47" s="16" t="s">
        <v>201</v>
      </c>
      <c r="D47" s="16" t="s">
        <v>88</v>
      </c>
      <c r="E47" s="16" t="s">
        <v>93</v>
      </c>
      <c r="F47" s="16" t="s">
        <v>162</v>
      </c>
      <c r="G47" s="16" t="s">
        <v>182</v>
      </c>
      <c r="H47" s="16" t="s">
        <v>202</v>
      </c>
      <c r="I47" s="16">
        <v>-1345759</v>
      </c>
      <c r="Q47" s="16">
        <v>-1345759</v>
      </c>
      <c r="T47" s="149"/>
      <c r="W47" s="53"/>
      <c r="X47" s="53"/>
      <c r="Y47" s="53"/>
      <c r="Z47" s="53"/>
      <c r="AE47"/>
      <c r="AF47"/>
      <c r="AG47"/>
      <c r="AH47"/>
      <c r="AI47"/>
      <c r="AJ47"/>
      <c r="AK47"/>
      <c r="AL47"/>
      <c r="AM47"/>
      <c r="AN47"/>
      <c r="AO47"/>
      <c r="AP47"/>
    </row>
    <row r="48" spans="1:42">
      <c r="A48" s="168" t="s">
        <v>184</v>
      </c>
      <c r="B48" s="168" t="s">
        <v>90</v>
      </c>
      <c r="C48" s="168" t="s">
        <v>206</v>
      </c>
      <c r="D48" s="168" t="s">
        <v>88</v>
      </c>
      <c r="E48" s="168" t="s">
        <v>93</v>
      </c>
      <c r="F48" s="168" t="s">
        <v>207</v>
      </c>
      <c r="G48" s="168" t="s">
        <v>208</v>
      </c>
      <c r="H48" s="168" t="s">
        <v>209</v>
      </c>
      <c r="I48" s="168">
        <v>-1100224.29</v>
      </c>
      <c r="J48" s="168"/>
      <c r="K48" s="168"/>
      <c r="L48" s="168"/>
      <c r="M48" s="168"/>
      <c r="N48" s="168"/>
      <c r="O48" s="168">
        <v>-133161.29</v>
      </c>
      <c r="P48" s="168"/>
      <c r="Q48" s="168">
        <v>-221497</v>
      </c>
      <c r="R48" s="168">
        <v>-745566</v>
      </c>
      <c r="S48" s="168"/>
      <c r="T48" s="168"/>
      <c r="U48" s="22"/>
      <c r="V48" s="22"/>
      <c r="W48" s="53"/>
      <c r="X48" s="53"/>
      <c r="Y48" s="53"/>
      <c r="Z48" s="53"/>
      <c r="AE48"/>
      <c r="AF48"/>
      <c r="AG48"/>
      <c r="AH48"/>
      <c r="AI48"/>
      <c r="AJ48"/>
      <c r="AK48"/>
      <c r="AL48"/>
      <c r="AM48"/>
      <c r="AN48"/>
      <c r="AO48"/>
      <c r="AP48"/>
    </row>
    <row r="49" spans="1:42">
      <c r="A49" s="168" t="s">
        <v>184</v>
      </c>
      <c r="B49" s="168" t="s">
        <v>90</v>
      </c>
      <c r="C49" s="168" t="s">
        <v>206</v>
      </c>
      <c r="D49" s="168" t="s">
        <v>88</v>
      </c>
      <c r="E49" s="168" t="s">
        <v>93</v>
      </c>
      <c r="F49" s="168" t="s">
        <v>207</v>
      </c>
      <c r="G49" s="168" t="s">
        <v>210</v>
      </c>
      <c r="H49" s="168" t="s">
        <v>209</v>
      </c>
      <c r="I49" s="168">
        <v>-497456</v>
      </c>
      <c r="J49" s="168"/>
      <c r="K49" s="168"/>
      <c r="L49" s="168"/>
      <c r="M49" s="168"/>
      <c r="N49" s="168"/>
      <c r="O49" s="168"/>
      <c r="P49" s="168"/>
      <c r="Q49" s="168"/>
      <c r="R49" s="168"/>
      <c r="S49" s="168"/>
      <c r="T49" s="168">
        <v>-497456</v>
      </c>
      <c r="W49" s="53"/>
      <c r="X49" s="53"/>
      <c r="Y49" s="53"/>
      <c r="Z49" s="53"/>
      <c r="AE49"/>
      <c r="AF49"/>
      <c r="AG49"/>
      <c r="AH49"/>
      <c r="AI49"/>
      <c r="AJ49"/>
      <c r="AK49"/>
      <c r="AL49"/>
      <c r="AM49"/>
      <c r="AN49"/>
      <c r="AO49"/>
      <c r="AP49"/>
    </row>
    <row r="50" spans="1:42">
      <c r="A50" s="176" t="s">
        <v>184</v>
      </c>
      <c r="B50" s="176" t="s">
        <v>91</v>
      </c>
      <c r="C50" s="176" t="s">
        <v>183</v>
      </c>
      <c r="D50" s="176" t="s">
        <v>93</v>
      </c>
      <c r="E50" s="176" t="s">
        <v>88</v>
      </c>
      <c r="F50" s="176" t="s">
        <v>184</v>
      </c>
      <c r="G50" s="176" t="s">
        <v>200</v>
      </c>
      <c r="H50" s="176" t="s">
        <v>198</v>
      </c>
      <c r="I50" s="176">
        <v>292098.40000000002</v>
      </c>
      <c r="J50" s="176"/>
      <c r="K50" s="176"/>
      <c r="L50" s="176"/>
      <c r="M50" s="176"/>
      <c r="N50" s="176"/>
      <c r="O50" s="176"/>
      <c r="P50" s="176"/>
      <c r="Q50" s="176"/>
      <c r="R50" s="176"/>
      <c r="S50" s="176"/>
      <c r="T50" s="176">
        <v>292098.40000000002</v>
      </c>
      <c r="W50" s="53"/>
      <c r="X50" s="53"/>
      <c r="Y50" s="53"/>
      <c r="Z50" s="53"/>
      <c r="AE50"/>
      <c r="AF50"/>
      <c r="AG50"/>
      <c r="AH50"/>
      <c r="AI50"/>
      <c r="AJ50"/>
      <c r="AK50"/>
      <c r="AL50"/>
      <c r="AM50"/>
      <c r="AN50"/>
      <c r="AO50"/>
      <c r="AP50"/>
    </row>
    <row r="51" spans="1:42">
      <c r="A51" s="176" t="s">
        <v>184</v>
      </c>
      <c r="B51" s="176" t="s">
        <v>91</v>
      </c>
      <c r="C51" s="176" t="s">
        <v>183</v>
      </c>
      <c r="D51" s="176" t="s">
        <v>93</v>
      </c>
      <c r="E51" s="176" t="s">
        <v>88</v>
      </c>
      <c r="F51" s="176" t="s">
        <v>184</v>
      </c>
      <c r="G51" s="176" t="s">
        <v>199</v>
      </c>
      <c r="H51" s="176" t="s">
        <v>143</v>
      </c>
      <c r="I51" s="176">
        <v>8178.36</v>
      </c>
      <c r="J51" s="176"/>
      <c r="K51" s="176"/>
      <c r="L51" s="176"/>
      <c r="M51" s="176"/>
      <c r="N51" s="176"/>
      <c r="O51" s="176">
        <v>8178.36</v>
      </c>
      <c r="P51" s="176"/>
      <c r="Q51" s="176"/>
      <c r="R51" s="176"/>
      <c r="S51" s="176"/>
      <c r="T51" s="176"/>
      <c r="W51" s="53"/>
      <c r="X51" s="53"/>
      <c r="Y51" s="53"/>
      <c r="Z51" s="53"/>
      <c r="AE51"/>
      <c r="AF51"/>
      <c r="AG51"/>
      <c r="AH51"/>
      <c r="AI51"/>
      <c r="AJ51"/>
      <c r="AK51"/>
      <c r="AL51"/>
      <c r="AM51"/>
      <c r="AN51"/>
      <c r="AO51"/>
      <c r="AP51"/>
    </row>
    <row r="52" spans="1:42">
      <c r="A52" s="176" t="s">
        <v>207</v>
      </c>
      <c r="B52" s="176" t="s">
        <v>90</v>
      </c>
      <c r="C52" s="176" t="s">
        <v>223</v>
      </c>
      <c r="D52" s="176" t="s">
        <v>88</v>
      </c>
      <c r="E52" s="176" t="s">
        <v>93</v>
      </c>
      <c r="F52" s="176" t="s">
        <v>214</v>
      </c>
      <c r="G52" s="176" t="s">
        <v>224</v>
      </c>
      <c r="H52" s="176" t="s">
        <v>225</v>
      </c>
      <c r="I52" s="176">
        <v>-484892.85</v>
      </c>
      <c r="J52" s="176"/>
      <c r="K52" s="176"/>
      <c r="L52" s="176"/>
      <c r="M52" s="176"/>
      <c r="N52" s="176"/>
      <c r="O52" s="176"/>
      <c r="P52" s="176"/>
      <c r="Q52" s="176"/>
      <c r="R52" s="176"/>
      <c r="S52" s="176"/>
      <c r="T52" s="176">
        <v>-484892.85</v>
      </c>
      <c r="W52" s="53"/>
      <c r="X52" s="53"/>
      <c r="Y52" s="53"/>
      <c r="Z52" s="53"/>
      <c r="AE52"/>
      <c r="AF52"/>
      <c r="AG52"/>
      <c r="AH52"/>
      <c r="AI52"/>
      <c r="AJ52"/>
      <c r="AK52"/>
      <c r="AL52"/>
      <c r="AM52"/>
      <c r="AN52"/>
      <c r="AO52"/>
      <c r="AP52"/>
    </row>
    <row r="53" spans="1:42">
      <c r="A53" s="176" t="s">
        <v>207</v>
      </c>
      <c r="B53" s="176" t="s">
        <v>90</v>
      </c>
      <c r="C53" s="176" t="s">
        <v>220</v>
      </c>
      <c r="D53" s="176" t="s">
        <v>88</v>
      </c>
      <c r="E53" s="176" t="s">
        <v>101</v>
      </c>
      <c r="F53" s="176" t="s">
        <v>214</v>
      </c>
      <c r="G53" s="176" t="s">
        <v>221</v>
      </c>
      <c r="H53" s="176" t="s">
        <v>222</v>
      </c>
      <c r="I53" s="176">
        <v>-40000</v>
      </c>
      <c r="J53" s="176"/>
      <c r="K53" s="176"/>
      <c r="L53" s="176"/>
      <c r="M53" s="176"/>
      <c r="N53" s="176"/>
      <c r="O53" s="176">
        <v>-40000</v>
      </c>
      <c r="P53" s="176"/>
      <c r="Q53" s="176"/>
      <c r="R53" s="176"/>
      <c r="S53" s="176"/>
      <c r="T53" s="176"/>
      <c r="W53" s="53"/>
      <c r="X53" s="53"/>
      <c r="Y53" s="53"/>
      <c r="Z53" s="53"/>
      <c r="AE53"/>
      <c r="AF53"/>
      <c r="AG53"/>
      <c r="AH53"/>
      <c r="AI53"/>
      <c r="AJ53"/>
      <c r="AK53"/>
      <c r="AL53"/>
      <c r="AM53"/>
      <c r="AN53"/>
      <c r="AO53"/>
      <c r="AP53"/>
    </row>
    <row r="54" spans="1:42">
      <c r="A54" s="181" t="s">
        <v>207</v>
      </c>
      <c r="B54" s="181" t="s">
        <v>91</v>
      </c>
      <c r="C54" s="181" t="s">
        <v>206</v>
      </c>
      <c r="D54" s="181" t="s">
        <v>93</v>
      </c>
      <c r="E54" s="181" t="s">
        <v>88</v>
      </c>
      <c r="F54" s="181" t="s">
        <v>207</v>
      </c>
      <c r="G54" s="181" t="s">
        <v>208</v>
      </c>
      <c r="H54" s="181" t="s">
        <v>209</v>
      </c>
      <c r="I54" s="181">
        <v>1100224.29</v>
      </c>
      <c r="J54" s="181"/>
      <c r="K54" s="181"/>
      <c r="L54" s="181"/>
      <c r="M54" s="181"/>
      <c r="N54" s="181"/>
      <c r="O54" s="181">
        <v>133161.29</v>
      </c>
      <c r="P54" s="181"/>
      <c r="Q54" s="181">
        <v>221497</v>
      </c>
      <c r="R54" s="181">
        <v>745566</v>
      </c>
      <c r="S54" s="181"/>
      <c r="T54" s="181"/>
      <c r="W54" s="53"/>
      <c r="X54" s="53"/>
      <c r="Y54" s="53"/>
      <c r="Z54" s="53"/>
      <c r="AE54"/>
      <c r="AF54"/>
      <c r="AG54"/>
      <c r="AH54"/>
      <c r="AI54"/>
      <c r="AJ54"/>
      <c r="AK54"/>
      <c r="AL54"/>
      <c r="AM54"/>
      <c r="AN54"/>
      <c r="AO54"/>
      <c r="AP54"/>
    </row>
    <row r="55" spans="1:42">
      <c r="A55" s="181" t="s">
        <v>207</v>
      </c>
      <c r="B55" s="181" t="s">
        <v>91</v>
      </c>
      <c r="C55" s="181" t="s">
        <v>206</v>
      </c>
      <c r="D55" s="181" t="s">
        <v>93</v>
      </c>
      <c r="E55" s="181" t="s">
        <v>88</v>
      </c>
      <c r="F55" s="181" t="s">
        <v>207</v>
      </c>
      <c r="G55" s="181" t="s">
        <v>210</v>
      </c>
      <c r="H55" s="181" t="s">
        <v>209</v>
      </c>
      <c r="I55" s="181">
        <v>497456</v>
      </c>
      <c r="J55" s="181"/>
      <c r="K55" s="181"/>
      <c r="L55" s="181"/>
      <c r="M55" s="181"/>
      <c r="N55" s="181"/>
      <c r="O55" s="181"/>
      <c r="P55" s="181"/>
      <c r="Q55" s="181"/>
      <c r="R55" s="181"/>
      <c r="S55" s="181"/>
      <c r="T55" s="181">
        <v>497456</v>
      </c>
      <c r="W55" s="53"/>
      <c r="X55" s="53"/>
      <c r="Y55" s="53"/>
      <c r="Z55" s="53"/>
      <c r="AE55"/>
      <c r="AF55"/>
      <c r="AG55"/>
      <c r="AH55"/>
      <c r="AI55"/>
      <c r="AJ55"/>
      <c r="AK55"/>
      <c r="AL55"/>
      <c r="AM55"/>
      <c r="AN55"/>
      <c r="AO55"/>
      <c r="AP55"/>
    </row>
    <row r="56" spans="1:42">
      <c r="A56" s="182" t="s">
        <v>207</v>
      </c>
      <c r="B56" s="182" t="s">
        <v>144</v>
      </c>
      <c r="C56" s="182" t="s">
        <v>232</v>
      </c>
      <c r="D56" s="182" t="s">
        <v>93</v>
      </c>
      <c r="E56" s="182" t="s">
        <v>88</v>
      </c>
      <c r="F56" s="182" t="s">
        <v>207</v>
      </c>
      <c r="G56" s="182" t="s">
        <v>233</v>
      </c>
      <c r="H56" s="182" t="s">
        <v>146</v>
      </c>
      <c r="I56" s="182">
        <v>1015863</v>
      </c>
      <c r="J56" s="182">
        <v>1015863</v>
      </c>
      <c r="K56" s="182"/>
      <c r="L56" s="182"/>
      <c r="M56" s="182"/>
      <c r="N56" s="182"/>
      <c r="O56" s="182"/>
      <c r="P56" s="182"/>
      <c r="Q56" s="182"/>
      <c r="R56" s="182"/>
      <c r="S56" s="182"/>
      <c r="T56" s="182"/>
      <c r="W56" s="53"/>
      <c r="X56" s="53"/>
      <c r="Y56" s="53"/>
      <c r="Z56" s="53"/>
      <c r="AE56"/>
      <c r="AF56"/>
      <c r="AG56"/>
      <c r="AH56"/>
      <c r="AI56"/>
      <c r="AJ56"/>
      <c r="AK56"/>
      <c r="AL56"/>
      <c r="AM56"/>
      <c r="AN56"/>
      <c r="AO56"/>
      <c r="AP56"/>
    </row>
    <row r="57" spans="1:42">
      <c r="A57" s="182" t="s">
        <v>207</v>
      </c>
      <c r="B57" s="182" t="s">
        <v>144</v>
      </c>
      <c r="C57" s="182" t="s">
        <v>234</v>
      </c>
      <c r="D57" s="182" t="s">
        <v>93</v>
      </c>
      <c r="E57" s="182" t="s">
        <v>88</v>
      </c>
      <c r="F57" s="182" t="s">
        <v>207</v>
      </c>
      <c r="G57" s="182" t="s">
        <v>235</v>
      </c>
      <c r="H57" s="182" t="s">
        <v>146</v>
      </c>
      <c r="I57" s="182">
        <v>900000</v>
      </c>
      <c r="J57" s="182">
        <v>900000</v>
      </c>
      <c r="K57" s="182"/>
      <c r="L57" s="182"/>
      <c r="M57" s="182"/>
      <c r="N57" s="182"/>
      <c r="O57" s="182"/>
      <c r="P57" s="182"/>
      <c r="Q57" s="182"/>
      <c r="R57" s="182"/>
      <c r="S57" s="182"/>
      <c r="T57" s="182"/>
      <c r="W57" s="53"/>
      <c r="X57" s="53"/>
      <c r="Y57" s="53"/>
      <c r="Z57" s="53"/>
      <c r="AE57"/>
      <c r="AF57"/>
      <c r="AG57"/>
      <c r="AH57"/>
      <c r="AI57"/>
      <c r="AJ57"/>
      <c r="AK57"/>
      <c r="AL57"/>
      <c r="AM57"/>
      <c r="AN57"/>
      <c r="AO57"/>
      <c r="AP57"/>
    </row>
    <row r="58" spans="1:42">
      <c r="A58" s="16" t="s">
        <v>207</v>
      </c>
      <c r="B58" s="16" t="s">
        <v>127</v>
      </c>
      <c r="C58" s="16" t="s">
        <v>232</v>
      </c>
      <c r="D58" s="16" t="s">
        <v>88</v>
      </c>
      <c r="E58" s="16" t="s">
        <v>93</v>
      </c>
      <c r="F58" s="16" t="s">
        <v>207</v>
      </c>
      <c r="G58" s="16" t="s">
        <v>233</v>
      </c>
      <c r="H58" s="16" t="s">
        <v>236</v>
      </c>
      <c r="I58" s="16">
        <v>-1128736.67</v>
      </c>
      <c r="R58" s="16">
        <v>-1128736.67</v>
      </c>
      <c r="W58" s="53"/>
      <c r="X58" s="53"/>
      <c r="Y58" s="53"/>
      <c r="Z58" s="53"/>
      <c r="AE58"/>
      <c r="AF58"/>
      <c r="AG58"/>
      <c r="AH58"/>
      <c r="AI58"/>
      <c r="AJ58"/>
      <c r="AK58"/>
      <c r="AL58"/>
      <c r="AM58"/>
      <c r="AN58"/>
      <c r="AO58"/>
      <c r="AP58"/>
    </row>
    <row r="59" spans="1:42">
      <c r="A59" s="16" t="s">
        <v>207</v>
      </c>
      <c r="B59" s="16" t="s">
        <v>127</v>
      </c>
      <c r="C59" s="16" t="s">
        <v>234</v>
      </c>
      <c r="D59" s="16" t="s">
        <v>88</v>
      </c>
      <c r="E59" s="16" t="s">
        <v>93</v>
      </c>
      <c r="F59" s="16" t="s">
        <v>207</v>
      </c>
      <c r="G59" s="16" t="s">
        <v>235</v>
      </c>
      <c r="H59" s="16" t="s">
        <v>237</v>
      </c>
      <c r="I59" s="16">
        <v>-1000000</v>
      </c>
      <c r="O59" s="16">
        <v>-223144</v>
      </c>
      <c r="Q59" s="16">
        <v>-442994</v>
      </c>
      <c r="R59" s="16">
        <v>-333862</v>
      </c>
      <c r="W59" s="53"/>
      <c r="X59" s="53"/>
      <c r="Y59" s="53"/>
      <c r="Z59" s="53"/>
      <c r="AE59"/>
      <c r="AF59"/>
      <c r="AG59"/>
      <c r="AH59"/>
      <c r="AI59"/>
      <c r="AJ59"/>
      <c r="AK59"/>
      <c r="AL59"/>
      <c r="AM59"/>
      <c r="AN59"/>
      <c r="AO59"/>
      <c r="AP59"/>
    </row>
    <row r="60" spans="1:42">
      <c r="A60" s="182" t="s">
        <v>214</v>
      </c>
      <c r="B60" s="182" t="s">
        <v>89</v>
      </c>
      <c r="C60" s="182" t="s">
        <v>215</v>
      </c>
      <c r="D60" s="182" t="s">
        <v>216</v>
      </c>
      <c r="E60" s="182" t="s">
        <v>88</v>
      </c>
      <c r="F60" s="182" t="s">
        <v>217</v>
      </c>
      <c r="G60" s="182" t="s">
        <v>218</v>
      </c>
      <c r="H60" s="182" t="s">
        <v>219</v>
      </c>
      <c r="I60" s="182">
        <v>104359</v>
      </c>
      <c r="J60" s="182"/>
      <c r="K60" s="182"/>
      <c r="L60" s="182"/>
      <c r="M60" s="182"/>
      <c r="N60" s="182"/>
      <c r="O60" s="182"/>
      <c r="P60" s="182"/>
      <c r="Q60" s="182"/>
      <c r="R60" s="182">
        <v>104359</v>
      </c>
      <c r="S60" s="182"/>
      <c r="T60" s="182"/>
      <c r="W60" s="53"/>
      <c r="X60" s="53"/>
      <c r="Y60" s="53"/>
      <c r="Z60" s="53"/>
      <c r="AE60"/>
      <c r="AF60"/>
      <c r="AG60"/>
      <c r="AH60"/>
      <c r="AI60"/>
      <c r="AJ60"/>
      <c r="AK60"/>
      <c r="AL60"/>
      <c r="AM60"/>
      <c r="AN60"/>
      <c r="AO60"/>
      <c r="AP60"/>
    </row>
    <row r="61" spans="1:42">
      <c r="A61" s="182" t="s">
        <v>214</v>
      </c>
      <c r="B61" s="182" t="s">
        <v>90</v>
      </c>
      <c r="C61" s="182" t="s">
        <v>260</v>
      </c>
      <c r="D61" s="182" t="s">
        <v>88</v>
      </c>
      <c r="E61" s="182" t="s">
        <v>93</v>
      </c>
      <c r="F61" s="182" t="s">
        <v>217</v>
      </c>
      <c r="G61" s="182" t="s">
        <v>261</v>
      </c>
      <c r="H61" s="182" t="s">
        <v>225</v>
      </c>
      <c r="I61" s="182">
        <v>-777276.79</v>
      </c>
      <c r="J61" s="182"/>
      <c r="K61" s="182"/>
      <c r="L61" s="182"/>
      <c r="M61" s="182"/>
      <c r="N61" s="182"/>
      <c r="O61" s="182"/>
      <c r="P61" s="182"/>
      <c r="Q61" s="182"/>
      <c r="R61" s="182"/>
      <c r="S61" s="182"/>
      <c r="T61" s="182">
        <v>-777276.79</v>
      </c>
      <c r="W61" s="53"/>
      <c r="X61" s="53"/>
      <c r="Y61" s="53"/>
      <c r="Z61" s="53"/>
      <c r="AE61"/>
      <c r="AF61"/>
      <c r="AG61"/>
      <c r="AH61"/>
      <c r="AI61"/>
      <c r="AJ61"/>
      <c r="AK61"/>
      <c r="AL61"/>
      <c r="AM61"/>
      <c r="AN61"/>
      <c r="AO61"/>
      <c r="AP61"/>
    </row>
    <row r="62" spans="1:42">
      <c r="A62" s="182" t="s">
        <v>214</v>
      </c>
      <c r="B62" s="182" t="s">
        <v>90</v>
      </c>
      <c r="C62" s="182" t="s">
        <v>262</v>
      </c>
      <c r="D62" s="182" t="s">
        <v>88</v>
      </c>
      <c r="E62" s="182" t="s">
        <v>93</v>
      </c>
      <c r="F62" s="182" t="s">
        <v>217</v>
      </c>
      <c r="G62" s="182" t="s">
        <v>263</v>
      </c>
      <c r="H62" s="182" t="s">
        <v>264</v>
      </c>
      <c r="I62" s="182">
        <v>-10929</v>
      </c>
      <c r="J62" s="182"/>
      <c r="K62" s="182"/>
      <c r="L62" s="182"/>
      <c r="M62" s="182"/>
      <c r="N62" s="182"/>
      <c r="O62" s="182"/>
      <c r="P62" s="182"/>
      <c r="Q62" s="182">
        <v>-10929</v>
      </c>
      <c r="R62" s="182"/>
      <c r="S62" s="182"/>
      <c r="T62" s="182"/>
      <c r="W62" s="53"/>
      <c r="X62" s="53"/>
      <c r="Y62" s="53"/>
      <c r="Z62" s="53"/>
      <c r="AE62"/>
      <c r="AF62"/>
      <c r="AG62"/>
      <c r="AH62"/>
      <c r="AI62"/>
      <c r="AJ62"/>
      <c r="AK62"/>
      <c r="AL62"/>
      <c r="AM62"/>
      <c r="AN62"/>
      <c r="AO62"/>
      <c r="AP62"/>
    </row>
    <row r="63" spans="1:42">
      <c r="A63" s="182" t="s">
        <v>214</v>
      </c>
      <c r="B63" s="182" t="s">
        <v>91</v>
      </c>
      <c r="C63" s="182" t="s">
        <v>223</v>
      </c>
      <c r="D63" s="182" t="s">
        <v>93</v>
      </c>
      <c r="E63" s="182" t="s">
        <v>88</v>
      </c>
      <c r="F63" s="182" t="s">
        <v>214</v>
      </c>
      <c r="G63" s="182" t="s">
        <v>224</v>
      </c>
      <c r="H63" s="182" t="s">
        <v>225</v>
      </c>
      <c r="I63" s="182">
        <v>484892.85</v>
      </c>
      <c r="J63" s="182"/>
      <c r="K63" s="182"/>
      <c r="L63" s="182"/>
      <c r="M63" s="182"/>
      <c r="N63" s="182"/>
      <c r="O63" s="182"/>
      <c r="P63" s="182"/>
      <c r="Q63" s="182"/>
      <c r="R63" s="182"/>
      <c r="S63" s="182"/>
      <c r="T63" s="182">
        <v>484892.85</v>
      </c>
      <c r="W63" s="53"/>
      <c r="X63" s="53"/>
      <c r="Y63" s="53"/>
      <c r="Z63" s="53"/>
      <c r="AE63"/>
      <c r="AF63"/>
      <c r="AG63"/>
      <c r="AH63"/>
      <c r="AI63"/>
      <c r="AJ63"/>
      <c r="AK63"/>
      <c r="AL63"/>
      <c r="AM63"/>
      <c r="AN63"/>
      <c r="AO63"/>
      <c r="AP63"/>
    </row>
    <row r="64" spans="1:42">
      <c r="A64" s="200" t="s">
        <v>214</v>
      </c>
      <c r="B64" s="200" t="s">
        <v>91</v>
      </c>
      <c r="C64" s="200" t="s">
        <v>220</v>
      </c>
      <c r="D64" s="200" t="s">
        <v>101</v>
      </c>
      <c r="E64" s="200" t="s">
        <v>88</v>
      </c>
      <c r="F64" s="200" t="s">
        <v>214</v>
      </c>
      <c r="G64" s="200" t="s">
        <v>221</v>
      </c>
      <c r="H64" s="200" t="s">
        <v>222</v>
      </c>
      <c r="I64" s="200">
        <v>40000</v>
      </c>
      <c r="J64" s="200"/>
      <c r="K64" s="200"/>
      <c r="L64" s="200"/>
      <c r="M64" s="200"/>
      <c r="N64" s="200"/>
      <c r="O64" s="200">
        <v>40000</v>
      </c>
      <c r="P64" s="200"/>
      <c r="Q64" s="200"/>
      <c r="R64" s="200"/>
      <c r="S64" s="200"/>
      <c r="T64" s="200"/>
      <c r="W64" s="53"/>
      <c r="X64" s="53"/>
      <c r="Y64" s="53"/>
      <c r="Z64" s="53"/>
      <c r="AE64"/>
      <c r="AF64"/>
      <c r="AG64"/>
      <c r="AH64"/>
      <c r="AI64"/>
      <c r="AJ64"/>
      <c r="AK64"/>
      <c r="AL64"/>
      <c r="AM64"/>
      <c r="AN64"/>
      <c r="AO64"/>
      <c r="AP64"/>
    </row>
    <row r="65" spans="1:42">
      <c r="A65" s="200" t="s">
        <v>214</v>
      </c>
      <c r="B65" s="200" t="s">
        <v>144</v>
      </c>
      <c r="C65" s="200" t="s">
        <v>265</v>
      </c>
      <c r="D65" s="200" t="s">
        <v>93</v>
      </c>
      <c r="E65" s="200" t="s">
        <v>88</v>
      </c>
      <c r="F65" s="200" t="s">
        <v>214</v>
      </c>
      <c r="G65" s="200" t="s">
        <v>266</v>
      </c>
      <c r="H65" s="200" t="s">
        <v>267</v>
      </c>
      <c r="I65" s="200">
        <v>900000</v>
      </c>
      <c r="J65" s="200">
        <v>900000</v>
      </c>
      <c r="K65" s="200"/>
      <c r="L65" s="200"/>
      <c r="M65" s="200"/>
      <c r="N65" s="200"/>
      <c r="O65" s="200"/>
      <c r="P65" s="200"/>
      <c r="Q65" s="200"/>
      <c r="R65" s="200"/>
      <c r="S65" s="200"/>
      <c r="T65" s="200"/>
      <c r="W65" s="53"/>
      <c r="X65" s="53"/>
      <c r="Y65" s="53"/>
      <c r="Z65" s="53"/>
      <c r="AE65"/>
      <c r="AF65"/>
      <c r="AG65"/>
      <c r="AH65"/>
      <c r="AI65"/>
      <c r="AJ65"/>
      <c r="AK65"/>
      <c r="AL65"/>
      <c r="AM65"/>
      <c r="AN65"/>
      <c r="AO65"/>
      <c r="AP65"/>
    </row>
    <row r="66" spans="1:42">
      <c r="A66" s="200" t="s">
        <v>214</v>
      </c>
      <c r="B66" s="200" t="s">
        <v>127</v>
      </c>
      <c r="C66" s="200" t="s">
        <v>265</v>
      </c>
      <c r="D66" s="200" t="s">
        <v>88</v>
      </c>
      <c r="E66" s="200" t="s">
        <v>93</v>
      </c>
      <c r="F66" s="200" t="s">
        <v>214</v>
      </c>
      <c r="G66" s="200" t="s">
        <v>266</v>
      </c>
      <c r="H66" s="200" t="s">
        <v>268</v>
      </c>
      <c r="I66" s="200">
        <v>-315327.45</v>
      </c>
      <c r="J66" s="200"/>
      <c r="K66" s="200"/>
      <c r="L66" s="200"/>
      <c r="M66" s="200"/>
      <c r="N66" s="200"/>
      <c r="O66" s="200">
        <v>-315327.45</v>
      </c>
      <c r="P66" s="200"/>
      <c r="Q66" s="200"/>
      <c r="R66" s="200"/>
      <c r="S66" s="200"/>
      <c r="T66" s="200"/>
      <c r="W66" s="53"/>
      <c r="X66" s="53"/>
      <c r="Y66" s="53"/>
      <c r="Z66" s="53"/>
      <c r="AE66"/>
      <c r="AF66"/>
      <c r="AG66"/>
      <c r="AH66"/>
      <c r="AI66"/>
      <c r="AJ66"/>
      <c r="AK66"/>
      <c r="AL66"/>
      <c r="AM66"/>
      <c r="AN66"/>
      <c r="AO66"/>
      <c r="AP66"/>
    </row>
    <row r="67" spans="1:42">
      <c r="A67" s="200" t="s">
        <v>214</v>
      </c>
      <c r="B67" s="200" t="s">
        <v>127</v>
      </c>
      <c r="C67" s="200" t="s">
        <v>265</v>
      </c>
      <c r="D67" s="200" t="s">
        <v>88</v>
      </c>
      <c r="E67" s="200" t="s">
        <v>93</v>
      </c>
      <c r="F67" s="200" t="s">
        <v>214</v>
      </c>
      <c r="G67" s="200" t="s">
        <v>266</v>
      </c>
      <c r="H67" s="200" t="s">
        <v>236</v>
      </c>
      <c r="I67" s="200">
        <v>-411521.55</v>
      </c>
      <c r="J67" s="200"/>
      <c r="K67" s="200"/>
      <c r="L67" s="200"/>
      <c r="M67" s="200"/>
      <c r="N67" s="200"/>
      <c r="O67" s="200"/>
      <c r="P67" s="200"/>
      <c r="Q67" s="200"/>
      <c r="R67" s="200">
        <v>-411521.55</v>
      </c>
      <c r="S67" s="200"/>
      <c r="T67" s="200"/>
      <c r="W67" s="53"/>
      <c r="X67" s="53"/>
      <c r="Y67" s="53"/>
      <c r="Z67" s="53"/>
      <c r="AE67"/>
      <c r="AF67"/>
      <c r="AG67"/>
      <c r="AH67"/>
      <c r="AI67"/>
      <c r="AJ67"/>
      <c r="AK67"/>
      <c r="AL67"/>
      <c r="AM67"/>
      <c r="AN67"/>
      <c r="AO67"/>
      <c r="AP67"/>
    </row>
    <row r="68" spans="1:42">
      <c r="A68" s="200" t="s">
        <v>214</v>
      </c>
      <c r="B68" s="200" t="s">
        <v>127</v>
      </c>
      <c r="C68" s="200" t="s">
        <v>265</v>
      </c>
      <c r="D68" s="200" t="s">
        <v>88</v>
      </c>
      <c r="E68" s="200" t="s">
        <v>93</v>
      </c>
      <c r="F68" s="200" t="s">
        <v>214</v>
      </c>
      <c r="G68" s="200" t="s">
        <v>266</v>
      </c>
      <c r="H68" s="200" t="s">
        <v>269</v>
      </c>
      <c r="I68" s="200">
        <v>-273151</v>
      </c>
      <c r="J68" s="200"/>
      <c r="K68" s="200"/>
      <c r="L68" s="200"/>
      <c r="M68" s="200"/>
      <c r="N68" s="200"/>
      <c r="O68" s="200"/>
      <c r="P68" s="200"/>
      <c r="Q68" s="200">
        <v>-273151</v>
      </c>
      <c r="R68" s="200"/>
      <c r="S68" s="200"/>
      <c r="T68" s="200"/>
      <c r="W68" s="53"/>
      <c r="X68" s="53"/>
      <c r="Y68" s="53"/>
      <c r="Z68" s="53"/>
      <c r="AE68"/>
      <c r="AF68"/>
      <c r="AG68"/>
      <c r="AH68"/>
      <c r="AI68"/>
      <c r="AJ68"/>
      <c r="AK68"/>
      <c r="AL68"/>
      <c r="AM68"/>
      <c r="AN68"/>
      <c r="AO68"/>
      <c r="AP68"/>
    </row>
    <row r="69" spans="1:42">
      <c r="A69" s="200" t="s">
        <v>217</v>
      </c>
      <c r="B69" s="200" t="s">
        <v>91</v>
      </c>
      <c r="C69" s="200" t="s">
        <v>260</v>
      </c>
      <c r="D69" s="200" t="s">
        <v>93</v>
      </c>
      <c r="E69" s="200" t="s">
        <v>88</v>
      </c>
      <c r="F69" s="200" t="s">
        <v>217</v>
      </c>
      <c r="G69" s="200" t="s">
        <v>261</v>
      </c>
      <c r="H69" s="200" t="s">
        <v>225</v>
      </c>
      <c r="I69" s="200">
        <v>777276.79</v>
      </c>
      <c r="J69" s="200"/>
      <c r="K69" s="200"/>
      <c r="L69" s="200"/>
      <c r="M69" s="200"/>
      <c r="N69" s="200"/>
      <c r="O69" s="200"/>
      <c r="P69" s="200"/>
      <c r="Q69" s="200"/>
      <c r="R69" s="200"/>
      <c r="S69" s="200"/>
      <c r="T69" s="200">
        <v>777276.79</v>
      </c>
      <c r="W69" s="53"/>
      <c r="X69" s="53"/>
      <c r="Y69" s="53"/>
      <c r="Z69" s="53"/>
      <c r="AE69"/>
      <c r="AF69"/>
      <c r="AG69"/>
      <c r="AH69"/>
      <c r="AI69"/>
      <c r="AJ69"/>
      <c r="AK69"/>
      <c r="AL69"/>
      <c r="AM69"/>
      <c r="AN69"/>
      <c r="AO69"/>
      <c r="AP69"/>
    </row>
    <row r="70" spans="1:42">
      <c r="A70" s="200" t="s">
        <v>217</v>
      </c>
      <c r="B70" s="200" t="s">
        <v>91</v>
      </c>
      <c r="C70" s="200" t="s">
        <v>262</v>
      </c>
      <c r="D70" s="200" t="s">
        <v>93</v>
      </c>
      <c r="E70" s="200" t="s">
        <v>88</v>
      </c>
      <c r="F70" s="200" t="s">
        <v>217</v>
      </c>
      <c r="G70" s="200" t="s">
        <v>263</v>
      </c>
      <c r="H70" s="200" t="s">
        <v>264</v>
      </c>
      <c r="I70" s="200">
        <v>10929</v>
      </c>
      <c r="J70" s="200"/>
      <c r="K70" s="200"/>
      <c r="L70" s="200"/>
      <c r="M70" s="200"/>
      <c r="N70" s="200"/>
      <c r="O70" s="200"/>
      <c r="P70" s="200"/>
      <c r="Q70" s="200">
        <v>10929</v>
      </c>
      <c r="R70" s="200"/>
      <c r="S70" s="200"/>
      <c r="T70" s="200"/>
      <c r="W70" s="53"/>
      <c r="X70" s="53"/>
      <c r="Y70" s="53"/>
      <c r="Z70" s="53"/>
      <c r="AE70"/>
      <c r="AF70"/>
      <c r="AG70"/>
      <c r="AH70"/>
      <c r="AI70"/>
      <c r="AJ70"/>
      <c r="AK70"/>
      <c r="AL70"/>
      <c r="AM70"/>
      <c r="AN70"/>
      <c r="AO70"/>
      <c r="AP70"/>
    </row>
    <row r="71" spans="1:42">
      <c r="A71" s="200" t="s">
        <v>217</v>
      </c>
      <c r="B71" s="200" t="s">
        <v>92</v>
      </c>
      <c r="C71" s="200" t="s">
        <v>215</v>
      </c>
      <c r="D71" s="200" t="s">
        <v>88</v>
      </c>
      <c r="E71" s="200" t="s">
        <v>216</v>
      </c>
      <c r="F71" s="200" t="s">
        <v>217</v>
      </c>
      <c r="G71" s="200" t="s">
        <v>218</v>
      </c>
      <c r="H71" s="200" t="s">
        <v>219</v>
      </c>
      <c r="I71" s="200">
        <v>-104359</v>
      </c>
      <c r="J71" s="200"/>
      <c r="K71" s="200"/>
      <c r="L71" s="200"/>
      <c r="M71" s="200"/>
      <c r="N71" s="200"/>
      <c r="O71" s="200"/>
      <c r="P71" s="200"/>
      <c r="Q71" s="200"/>
      <c r="R71" s="200">
        <v>-104359</v>
      </c>
      <c r="S71" s="200"/>
      <c r="T71" s="200"/>
      <c r="W71" s="53"/>
      <c r="X71" s="53"/>
      <c r="Y71" s="53"/>
      <c r="Z71" s="53"/>
      <c r="AE71"/>
      <c r="AF71"/>
      <c r="AG71"/>
      <c r="AH71"/>
      <c r="AI71"/>
      <c r="AJ71"/>
      <c r="AK71"/>
      <c r="AL71"/>
      <c r="AM71"/>
      <c r="AN71"/>
      <c r="AO71"/>
      <c r="AP71"/>
    </row>
    <row r="72" spans="1:42">
      <c r="A72" s="200"/>
      <c r="B72" s="200"/>
      <c r="C72" s="200"/>
      <c r="D72" s="200"/>
      <c r="E72" s="200"/>
      <c r="F72" s="200"/>
      <c r="G72" s="200"/>
      <c r="H72" s="200"/>
      <c r="I72" s="200"/>
      <c r="J72" s="200"/>
      <c r="K72" s="200"/>
      <c r="L72" s="200"/>
      <c r="M72" s="200"/>
      <c r="N72" s="200"/>
      <c r="O72" s="200"/>
      <c r="P72" s="200"/>
      <c r="Q72" s="200"/>
      <c r="R72" s="200"/>
      <c r="S72" s="200"/>
      <c r="T72" s="200"/>
      <c r="W72" s="53"/>
      <c r="X72" s="53"/>
      <c r="Y72" s="53"/>
      <c r="Z72" s="53"/>
      <c r="AE72"/>
      <c r="AF72"/>
      <c r="AG72"/>
      <c r="AH72"/>
      <c r="AI72"/>
      <c r="AJ72"/>
      <c r="AK72"/>
      <c r="AL72"/>
      <c r="AM72"/>
      <c r="AN72"/>
      <c r="AO72"/>
      <c r="AP72"/>
    </row>
    <row r="73" spans="1:42">
      <c r="A73" s="200"/>
      <c r="B73" s="200"/>
      <c r="C73" s="200"/>
      <c r="D73" s="200"/>
      <c r="E73" s="200"/>
      <c r="F73" s="200"/>
      <c r="G73" s="200"/>
      <c r="H73" s="200"/>
      <c r="I73" s="200"/>
      <c r="J73" s="200"/>
      <c r="K73" s="200"/>
      <c r="L73" s="200"/>
      <c r="M73" s="200"/>
      <c r="N73" s="200"/>
      <c r="O73" s="200"/>
      <c r="P73" s="200"/>
      <c r="Q73" s="200"/>
      <c r="R73" s="200"/>
      <c r="S73" s="200"/>
      <c r="T73" s="200"/>
      <c r="W73" s="53"/>
      <c r="X73" s="53"/>
      <c r="Y73" s="53"/>
      <c r="Z73" s="53"/>
      <c r="AE73"/>
      <c r="AF73"/>
      <c r="AG73"/>
      <c r="AH73"/>
      <c r="AI73"/>
      <c r="AJ73"/>
      <c r="AK73"/>
      <c r="AL73"/>
      <c r="AM73"/>
      <c r="AN73"/>
      <c r="AO73"/>
      <c r="AP73"/>
    </row>
    <row r="74" spans="1:42">
      <c r="A74" s="200"/>
      <c r="B74" s="200"/>
      <c r="C74" s="200"/>
      <c r="D74" s="200"/>
      <c r="E74" s="200"/>
      <c r="F74" s="200"/>
      <c r="G74" s="200"/>
      <c r="H74" s="200"/>
      <c r="I74" s="200"/>
      <c r="J74" s="200"/>
      <c r="K74" s="200"/>
      <c r="L74" s="200"/>
      <c r="M74" s="200"/>
      <c r="N74" s="200"/>
      <c r="O74" s="200"/>
      <c r="P74" s="200"/>
      <c r="Q74" s="200"/>
      <c r="R74" s="200"/>
      <c r="S74" s="200"/>
      <c r="T74" s="200"/>
      <c r="W74" s="53"/>
      <c r="X74" s="53"/>
      <c r="Y74" s="53"/>
      <c r="Z74" s="53"/>
      <c r="AE74"/>
      <c r="AF74"/>
      <c r="AG74"/>
      <c r="AH74"/>
      <c r="AI74"/>
      <c r="AJ74"/>
      <c r="AK74"/>
      <c r="AL74"/>
      <c r="AM74"/>
      <c r="AN74"/>
      <c r="AO74"/>
      <c r="AP74"/>
    </row>
    <row r="75" spans="1:42">
      <c r="A75" s="200"/>
      <c r="B75" s="200"/>
      <c r="C75" s="200"/>
      <c r="D75" s="200"/>
      <c r="E75" s="200"/>
      <c r="F75" s="200"/>
      <c r="G75" s="200"/>
      <c r="H75" s="200"/>
      <c r="I75" s="200"/>
      <c r="J75" s="200"/>
      <c r="K75" s="200"/>
      <c r="L75" s="200"/>
      <c r="M75" s="200"/>
      <c r="N75" s="200"/>
      <c r="O75" s="200"/>
      <c r="P75" s="200"/>
      <c r="Q75" s="200"/>
      <c r="R75" s="200"/>
      <c r="S75" s="200"/>
      <c r="T75" s="200"/>
      <c r="W75" s="53"/>
      <c r="X75" s="53"/>
      <c r="Y75" s="53"/>
      <c r="Z75" s="53"/>
      <c r="AE75"/>
      <c r="AF75"/>
      <c r="AG75"/>
      <c r="AH75"/>
      <c r="AI75"/>
      <c r="AJ75"/>
      <c r="AK75"/>
      <c r="AL75"/>
      <c r="AM75"/>
      <c r="AN75"/>
      <c r="AO75"/>
      <c r="AP75"/>
    </row>
    <row r="76" spans="1:42">
      <c r="A76" s="200"/>
      <c r="B76" s="200"/>
      <c r="C76" s="200"/>
      <c r="D76" s="200"/>
      <c r="E76" s="200"/>
      <c r="F76" s="200"/>
      <c r="G76" s="200"/>
      <c r="H76" s="200"/>
      <c r="I76" s="200"/>
      <c r="J76" s="200"/>
      <c r="K76" s="200"/>
      <c r="L76" s="200"/>
      <c r="M76" s="200"/>
      <c r="N76" s="200"/>
      <c r="O76" s="200"/>
      <c r="P76" s="200"/>
      <c r="Q76" s="200"/>
      <c r="R76" s="200"/>
      <c r="S76" s="200"/>
      <c r="T76" s="200"/>
      <c r="W76" s="53"/>
      <c r="X76" s="53"/>
      <c r="Y76" s="53"/>
      <c r="Z76" s="53"/>
      <c r="AE76"/>
      <c r="AF76"/>
      <c r="AG76"/>
      <c r="AH76"/>
      <c r="AI76"/>
      <c r="AJ76"/>
      <c r="AK76"/>
      <c r="AL76"/>
      <c r="AM76"/>
      <c r="AN76"/>
      <c r="AO76"/>
      <c r="AP76"/>
    </row>
    <row r="77" spans="1:42">
      <c r="A77" s="200"/>
      <c r="B77" s="200"/>
      <c r="C77" s="200"/>
      <c r="D77" s="200"/>
      <c r="E77" s="200"/>
      <c r="F77" s="200"/>
      <c r="G77" s="200"/>
      <c r="H77" s="200"/>
      <c r="I77" s="200"/>
      <c r="J77" s="200"/>
      <c r="K77" s="200"/>
      <c r="L77" s="200"/>
      <c r="M77" s="200"/>
      <c r="N77" s="200"/>
      <c r="O77" s="200"/>
      <c r="P77" s="200"/>
      <c r="Q77" s="200"/>
      <c r="R77" s="200"/>
      <c r="S77" s="200"/>
      <c r="T77" s="200"/>
      <c r="W77" s="53"/>
      <c r="X77" s="53"/>
      <c r="Y77" s="53"/>
      <c r="Z77" s="53"/>
      <c r="AE77"/>
      <c r="AF77"/>
      <c r="AG77"/>
      <c r="AH77"/>
      <c r="AI77"/>
      <c r="AJ77"/>
      <c r="AK77"/>
      <c r="AL77"/>
      <c r="AM77"/>
      <c r="AN77"/>
      <c r="AO77"/>
      <c r="AP77"/>
    </row>
    <row r="78" spans="1:42">
      <c r="A78" s="200"/>
      <c r="B78" s="200"/>
      <c r="C78" s="200"/>
      <c r="D78" s="200"/>
      <c r="E78" s="200"/>
      <c r="F78" s="200"/>
      <c r="G78" s="200"/>
      <c r="H78" s="200"/>
      <c r="I78" s="200"/>
      <c r="J78" s="200"/>
      <c r="K78" s="200"/>
      <c r="L78" s="200"/>
      <c r="M78" s="200"/>
      <c r="N78" s="200"/>
      <c r="O78" s="200"/>
      <c r="P78" s="200"/>
      <c r="Q78" s="200"/>
      <c r="R78" s="200"/>
      <c r="S78" s="200"/>
      <c r="T78" s="200"/>
      <c r="W78" s="53"/>
      <c r="X78" s="53"/>
      <c r="Y78" s="53"/>
      <c r="Z78" s="53"/>
      <c r="AE78"/>
      <c r="AF78"/>
      <c r="AG78"/>
      <c r="AH78"/>
      <c r="AI78"/>
      <c r="AJ78"/>
      <c r="AK78"/>
      <c r="AL78"/>
      <c r="AM78"/>
      <c r="AN78"/>
      <c r="AO78"/>
      <c r="AP78"/>
    </row>
    <row r="79" spans="1:42">
      <c r="A79" s="200"/>
      <c r="B79" s="200"/>
      <c r="C79" s="200"/>
      <c r="D79" s="200"/>
      <c r="E79" s="200"/>
      <c r="F79" s="200"/>
      <c r="G79" s="200"/>
      <c r="H79" s="200"/>
      <c r="I79" s="200"/>
      <c r="J79" s="200"/>
      <c r="K79" s="200"/>
      <c r="L79" s="200"/>
      <c r="M79" s="200"/>
      <c r="N79" s="200"/>
      <c r="O79" s="200"/>
      <c r="P79" s="200"/>
      <c r="Q79" s="200"/>
      <c r="R79" s="200"/>
      <c r="S79" s="200"/>
      <c r="T79" s="200"/>
      <c r="W79" s="53"/>
      <c r="X79" s="53"/>
      <c r="Y79" s="53"/>
      <c r="Z79" s="53"/>
      <c r="AE79"/>
      <c r="AF79"/>
      <c r="AG79"/>
      <c r="AH79"/>
      <c r="AI79"/>
      <c r="AJ79"/>
      <c r="AK79"/>
      <c r="AL79"/>
      <c r="AM79"/>
      <c r="AN79"/>
      <c r="AO79"/>
      <c r="AP79"/>
    </row>
    <row r="80" spans="1:42">
      <c r="A80" s="200"/>
      <c r="B80" s="200"/>
      <c r="C80" s="200"/>
      <c r="D80" s="200"/>
      <c r="E80" s="200"/>
      <c r="F80" s="200"/>
      <c r="G80" s="200"/>
      <c r="H80" s="200"/>
      <c r="I80" s="200"/>
      <c r="J80" s="200"/>
      <c r="K80" s="200"/>
      <c r="L80" s="200"/>
      <c r="M80" s="200"/>
      <c r="N80" s="200"/>
      <c r="O80" s="200"/>
      <c r="P80" s="200"/>
      <c r="Q80" s="200"/>
      <c r="R80" s="200"/>
      <c r="S80" s="200"/>
      <c r="T80" s="200"/>
      <c r="W80" s="53"/>
      <c r="X80" s="53"/>
      <c r="Y80" s="53"/>
      <c r="Z80" s="53"/>
      <c r="AE80"/>
      <c r="AF80"/>
      <c r="AG80"/>
      <c r="AH80"/>
      <c r="AI80"/>
      <c r="AJ80"/>
      <c r="AK80"/>
      <c r="AL80"/>
      <c r="AM80"/>
      <c r="AN80"/>
      <c r="AO80"/>
      <c r="AP80"/>
    </row>
    <row r="81" spans="1:42">
      <c r="A81" s="200"/>
      <c r="B81" s="200"/>
      <c r="C81" s="200"/>
      <c r="D81" s="200"/>
      <c r="E81" s="200"/>
      <c r="F81" s="200"/>
      <c r="G81" s="200"/>
      <c r="H81" s="200"/>
      <c r="I81" s="200"/>
      <c r="J81" s="200"/>
      <c r="K81" s="200"/>
      <c r="L81" s="200"/>
      <c r="M81" s="200"/>
      <c r="N81" s="200"/>
      <c r="O81" s="200"/>
      <c r="P81" s="200"/>
      <c r="Q81" s="200"/>
      <c r="R81" s="200"/>
      <c r="S81" s="200"/>
      <c r="T81" s="200"/>
      <c r="W81" s="53"/>
      <c r="X81" s="53"/>
      <c r="Y81" s="53"/>
      <c r="Z81" s="53"/>
      <c r="AE81"/>
      <c r="AF81"/>
      <c r="AG81"/>
      <c r="AH81"/>
      <c r="AI81"/>
      <c r="AJ81"/>
      <c r="AK81"/>
      <c r="AL81"/>
      <c r="AM81"/>
      <c r="AN81"/>
      <c r="AO81"/>
      <c r="AP81"/>
    </row>
    <row r="82" spans="1:42">
      <c r="A82" s="200"/>
      <c r="B82" s="200"/>
      <c r="C82" s="200"/>
      <c r="D82" s="200"/>
      <c r="E82" s="200"/>
      <c r="F82" s="200"/>
      <c r="G82" s="200"/>
      <c r="H82" s="200"/>
      <c r="I82" s="200"/>
      <c r="J82" s="200"/>
      <c r="K82" s="200"/>
      <c r="L82" s="200"/>
      <c r="M82" s="200"/>
      <c r="N82" s="200"/>
      <c r="O82" s="200"/>
      <c r="P82" s="200"/>
      <c r="Q82" s="200"/>
      <c r="R82" s="200"/>
      <c r="S82" s="200"/>
      <c r="T82" s="200"/>
      <c r="W82" s="53"/>
      <c r="X82" s="53"/>
      <c r="Y82" s="53"/>
      <c r="Z82" s="53"/>
      <c r="AE82"/>
      <c r="AF82"/>
      <c r="AG82"/>
      <c r="AH82"/>
      <c r="AI82"/>
      <c r="AJ82"/>
      <c r="AK82"/>
      <c r="AL82"/>
      <c r="AM82"/>
      <c r="AN82"/>
      <c r="AO82"/>
      <c r="AP82"/>
    </row>
    <row r="83" spans="1:42">
      <c r="A83" s="200"/>
      <c r="B83" s="200"/>
      <c r="C83" s="200"/>
      <c r="D83" s="200"/>
      <c r="E83" s="200"/>
      <c r="F83" s="200"/>
      <c r="G83" s="200"/>
      <c r="H83" s="200"/>
      <c r="I83" s="200"/>
      <c r="J83" s="200"/>
      <c r="K83" s="200"/>
      <c r="L83" s="200"/>
      <c r="M83" s="200"/>
      <c r="N83" s="200"/>
      <c r="O83" s="200"/>
      <c r="P83" s="200"/>
      <c r="Q83" s="200"/>
      <c r="R83" s="200"/>
      <c r="S83" s="200"/>
      <c r="T83" s="200"/>
      <c r="W83" s="53"/>
      <c r="X83" s="53"/>
      <c r="Y83" s="53"/>
      <c r="Z83" s="53"/>
      <c r="AE83"/>
      <c r="AF83"/>
      <c r="AG83"/>
      <c r="AH83"/>
      <c r="AI83"/>
      <c r="AJ83"/>
      <c r="AK83"/>
      <c r="AL83"/>
      <c r="AM83"/>
      <c r="AN83"/>
      <c r="AO83"/>
      <c r="AP83"/>
    </row>
    <row r="84" spans="1:42">
      <c r="A84" s="200"/>
      <c r="B84" s="200"/>
      <c r="C84" s="200"/>
      <c r="D84" s="200"/>
      <c r="E84" s="200"/>
      <c r="F84" s="200"/>
      <c r="G84" s="200"/>
      <c r="H84" s="200"/>
      <c r="I84" s="200"/>
      <c r="J84" s="200"/>
      <c r="K84" s="200"/>
      <c r="L84" s="200"/>
      <c r="M84" s="200"/>
      <c r="N84" s="200"/>
      <c r="O84" s="200"/>
      <c r="P84" s="200"/>
      <c r="Q84" s="200"/>
      <c r="R84" s="200"/>
      <c r="S84" s="200"/>
      <c r="T84" s="200"/>
      <c r="W84" s="53"/>
      <c r="X84" s="53"/>
      <c r="Y84" s="53"/>
      <c r="Z84" s="53"/>
      <c r="AE84"/>
      <c r="AF84"/>
      <c r="AG84"/>
      <c r="AH84"/>
      <c r="AI84"/>
      <c r="AJ84"/>
      <c r="AK84"/>
      <c r="AL84"/>
      <c r="AM84"/>
      <c r="AN84"/>
      <c r="AO84"/>
      <c r="AP84"/>
    </row>
    <row r="85" spans="1:42">
      <c r="A85" s="200"/>
      <c r="B85" s="200"/>
      <c r="C85" s="200"/>
      <c r="D85" s="200"/>
      <c r="E85" s="200"/>
      <c r="F85" s="200"/>
      <c r="G85" s="200"/>
      <c r="H85" s="200"/>
      <c r="I85" s="200"/>
      <c r="J85" s="200"/>
      <c r="K85" s="200"/>
      <c r="L85" s="200"/>
      <c r="M85" s="200"/>
      <c r="N85" s="200"/>
      <c r="O85" s="200"/>
      <c r="P85" s="200"/>
      <c r="Q85" s="200"/>
      <c r="R85" s="200"/>
      <c r="S85" s="200"/>
      <c r="T85" s="200"/>
      <c r="W85" s="53"/>
      <c r="X85" s="53"/>
      <c r="Y85" s="53"/>
      <c r="Z85" s="53"/>
      <c r="AE85"/>
      <c r="AF85"/>
      <c r="AG85"/>
      <c r="AH85"/>
      <c r="AI85"/>
      <c r="AJ85"/>
      <c r="AK85"/>
      <c r="AL85"/>
      <c r="AM85"/>
      <c r="AN85"/>
      <c r="AO85"/>
      <c r="AP85"/>
    </row>
    <row r="86" spans="1:42">
      <c r="A86" s="200"/>
      <c r="B86" s="200"/>
      <c r="C86" s="200"/>
      <c r="D86" s="200"/>
      <c r="E86" s="200"/>
      <c r="F86" s="200"/>
      <c r="G86" s="200"/>
      <c r="H86" s="200"/>
      <c r="I86" s="200"/>
      <c r="J86" s="200"/>
      <c r="K86" s="200"/>
      <c r="L86" s="200"/>
      <c r="M86" s="200"/>
      <c r="N86" s="200"/>
      <c r="O86" s="200"/>
      <c r="P86" s="200"/>
      <c r="Q86" s="200"/>
      <c r="R86" s="200"/>
      <c r="S86" s="200"/>
      <c r="T86" s="200"/>
      <c r="W86" s="53"/>
      <c r="X86" s="53"/>
      <c r="Y86" s="53"/>
      <c r="Z86" s="53"/>
      <c r="AE86"/>
      <c r="AF86"/>
      <c r="AG86"/>
      <c r="AH86"/>
      <c r="AI86"/>
      <c r="AJ86"/>
      <c r="AK86"/>
      <c r="AL86"/>
      <c r="AM86"/>
      <c r="AN86"/>
      <c r="AO86"/>
      <c r="AP86"/>
    </row>
    <row r="87" spans="1:42">
      <c r="A87" s="200"/>
      <c r="B87" s="200"/>
      <c r="C87" s="200"/>
      <c r="D87" s="200"/>
      <c r="E87" s="200"/>
      <c r="F87" s="200"/>
      <c r="G87" s="200"/>
      <c r="H87" s="200"/>
      <c r="I87" s="200"/>
      <c r="J87" s="200"/>
      <c r="K87" s="200"/>
      <c r="L87" s="200"/>
      <c r="M87" s="200"/>
      <c r="N87" s="200"/>
      <c r="O87" s="200"/>
      <c r="P87" s="200"/>
      <c r="Q87" s="200"/>
      <c r="R87" s="200"/>
      <c r="S87" s="200"/>
      <c r="T87" s="200"/>
      <c r="W87" s="53"/>
      <c r="X87" s="53"/>
      <c r="Y87" s="53"/>
      <c r="Z87" s="53"/>
      <c r="AE87"/>
      <c r="AF87"/>
      <c r="AG87"/>
      <c r="AH87"/>
      <c r="AI87"/>
      <c r="AJ87"/>
      <c r="AK87"/>
      <c r="AL87"/>
      <c r="AM87"/>
      <c r="AN87"/>
      <c r="AO87"/>
      <c r="AP87"/>
    </row>
    <row r="88" spans="1:42">
      <c r="A88" s="200"/>
      <c r="B88" s="200"/>
      <c r="C88" s="200"/>
      <c r="D88" s="200"/>
      <c r="E88" s="200"/>
      <c r="F88" s="200"/>
      <c r="G88" s="200"/>
      <c r="H88" s="200"/>
      <c r="I88" s="200"/>
      <c r="J88" s="200"/>
      <c r="K88" s="200"/>
      <c r="L88" s="200"/>
      <c r="M88" s="200"/>
      <c r="N88" s="200"/>
      <c r="O88" s="200"/>
      <c r="P88" s="200"/>
      <c r="Q88" s="200"/>
      <c r="R88" s="200"/>
      <c r="S88" s="200"/>
      <c r="T88" s="200"/>
      <c r="W88" s="53"/>
      <c r="X88" s="53"/>
      <c r="Y88" s="53"/>
      <c r="Z88" s="53"/>
      <c r="AE88"/>
      <c r="AF88"/>
      <c r="AG88"/>
      <c r="AH88"/>
      <c r="AI88"/>
      <c r="AJ88"/>
      <c r="AK88"/>
      <c r="AL88"/>
      <c r="AM88"/>
      <c r="AN88"/>
      <c r="AO88"/>
      <c r="AP88"/>
    </row>
    <row r="89" spans="1:42">
      <c r="A89" s="200"/>
      <c r="B89" s="200"/>
      <c r="C89" s="200"/>
      <c r="D89" s="200"/>
      <c r="E89" s="200"/>
      <c r="F89" s="200"/>
      <c r="G89" s="200"/>
      <c r="H89" s="200"/>
      <c r="I89" s="200"/>
      <c r="J89" s="200"/>
      <c r="K89" s="200"/>
      <c r="L89" s="200"/>
      <c r="M89" s="200"/>
      <c r="N89" s="200"/>
      <c r="O89" s="200"/>
      <c r="P89" s="200"/>
      <c r="Q89" s="200"/>
      <c r="R89" s="200"/>
      <c r="S89" s="200"/>
      <c r="T89" s="200"/>
      <c r="W89" s="53"/>
      <c r="X89" s="53"/>
      <c r="Y89" s="53"/>
      <c r="Z89" s="53"/>
      <c r="AE89"/>
      <c r="AF89"/>
      <c r="AG89"/>
      <c r="AH89"/>
      <c r="AI89"/>
      <c r="AJ89"/>
      <c r="AK89"/>
      <c r="AL89"/>
      <c r="AM89"/>
      <c r="AN89"/>
      <c r="AO89"/>
      <c r="AP89"/>
    </row>
    <row r="90" spans="1:42">
      <c r="A90" s="200"/>
      <c r="B90" s="200"/>
      <c r="C90" s="200"/>
      <c r="D90" s="200"/>
      <c r="E90" s="200"/>
      <c r="F90" s="200"/>
      <c r="G90" s="200"/>
      <c r="H90" s="200"/>
      <c r="I90" s="200"/>
      <c r="J90" s="200"/>
      <c r="K90" s="200"/>
      <c r="L90" s="200"/>
      <c r="M90" s="200"/>
      <c r="N90" s="200"/>
      <c r="O90" s="200"/>
      <c r="P90" s="200"/>
      <c r="Q90" s="200"/>
      <c r="R90" s="200"/>
      <c r="S90" s="200"/>
      <c r="T90" s="200"/>
      <c r="W90" s="53"/>
      <c r="X90" s="53"/>
      <c r="Y90" s="53"/>
      <c r="Z90" s="53"/>
      <c r="AE90"/>
      <c r="AF90"/>
      <c r="AG90"/>
      <c r="AH90"/>
      <c r="AI90"/>
      <c r="AJ90"/>
      <c r="AK90"/>
      <c r="AL90"/>
      <c r="AM90"/>
      <c r="AN90"/>
      <c r="AO90"/>
      <c r="AP90"/>
    </row>
    <row r="91" spans="1:42">
      <c r="A91" s="200"/>
      <c r="B91" s="200"/>
      <c r="C91" s="200"/>
      <c r="D91" s="200"/>
      <c r="E91" s="200"/>
      <c r="F91" s="200"/>
      <c r="G91" s="200"/>
      <c r="H91" s="200"/>
      <c r="I91" s="200"/>
      <c r="J91" s="200"/>
      <c r="K91" s="200"/>
      <c r="L91" s="200"/>
      <c r="M91" s="200"/>
      <c r="N91" s="200"/>
      <c r="O91" s="200"/>
      <c r="P91" s="200"/>
      <c r="Q91" s="200"/>
      <c r="R91" s="200"/>
      <c r="S91" s="200"/>
      <c r="T91" s="200"/>
      <c r="W91" s="53"/>
      <c r="X91" s="53"/>
      <c r="Y91" s="53"/>
      <c r="Z91" s="53"/>
      <c r="AE91"/>
      <c r="AF91"/>
      <c r="AG91"/>
      <c r="AH91"/>
      <c r="AI91"/>
      <c r="AJ91"/>
      <c r="AK91"/>
      <c r="AL91"/>
      <c r="AM91"/>
      <c r="AN91"/>
      <c r="AO91"/>
      <c r="AP91"/>
    </row>
    <row r="92" spans="1:42">
      <c r="A92" s="200"/>
      <c r="B92" s="200"/>
      <c r="C92" s="200"/>
      <c r="D92" s="200"/>
      <c r="E92" s="200"/>
      <c r="F92" s="200"/>
      <c r="G92" s="200"/>
      <c r="H92" s="200"/>
      <c r="I92" s="200"/>
      <c r="J92" s="200"/>
      <c r="K92" s="200"/>
      <c r="L92" s="200"/>
      <c r="M92" s="200"/>
      <c r="N92" s="200"/>
      <c r="O92" s="200"/>
      <c r="P92" s="200"/>
      <c r="Q92" s="200"/>
      <c r="R92" s="200"/>
      <c r="S92" s="200"/>
      <c r="T92" s="200"/>
      <c r="W92" s="53"/>
      <c r="X92" s="53"/>
      <c r="Y92" s="53"/>
      <c r="Z92" s="53"/>
      <c r="AE92"/>
      <c r="AF92"/>
      <c r="AG92"/>
      <c r="AH92"/>
      <c r="AI92"/>
      <c r="AJ92"/>
      <c r="AK92"/>
      <c r="AL92"/>
      <c r="AM92"/>
      <c r="AN92"/>
      <c r="AO92"/>
      <c r="AP92"/>
    </row>
    <row r="93" spans="1:42">
      <c r="A93" s="200"/>
      <c r="B93" s="200"/>
      <c r="C93" s="200"/>
      <c r="D93" s="200"/>
      <c r="E93" s="200"/>
      <c r="F93" s="200"/>
      <c r="G93" s="200"/>
      <c r="H93" s="200"/>
      <c r="I93" s="200"/>
      <c r="J93" s="200"/>
      <c r="K93" s="200"/>
      <c r="L93" s="200"/>
      <c r="M93" s="200"/>
      <c r="N93" s="200"/>
      <c r="O93" s="200"/>
      <c r="P93" s="200"/>
      <c r="Q93" s="200"/>
      <c r="R93" s="200"/>
      <c r="S93" s="200"/>
      <c r="T93" s="200"/>
      <c r="W93" s="53"/>
      <c r="X93" s="53"/>
      <c r="Y93" s="53"/>
      <c r="Z93" s="53"/>
      <c r="AE93"/>
      <c r="AF93"/>
      <c r="AG93"/>
      <c r="AH93"/>
      <c r="AI93"/>
      <c r="AJ93"/>
      <c r="AK93"/>
      <c r="AL93"/>
      <c r="AM93"/>
      <c r="AN93"/>
      <c r="AO93"/>
      <c r="AP93"/>
    </row>
    <row r="94" spans="1:42">
      <c r="A94" s="200"/>
      <c r="B94" s="200"/>
      <c r="C94" s="200"/>
      <c r="D94" s="200"/>
      <c r="E94" s="200"/>
      <c r="F94" s="200"/>
      <c r="G94" s="200"/>
      <c r="H94" s="200"/>
      <c r="I94" s="200"/>
      <c r="J94" s="200"/>
      <c r="K94" s="200"/>
      <c r="L94" s="200"/>
      <c r="M94" s="200"/>
      <c r="N94" s="200"/>
      <c r="O94" s="200"/>
      <c r="P94" s="200"/>
      <c r="Q94" s="200"/>
      <c r="R94" s="200"/>
      <c r="S94" s="200"/>
      <c r="T94" s="200"/>
      <c r="W94" s="53"/>
      <c r="X94" s="53"/>
      <c r="Y94" s="53"/>
      <c r="Z94" s="53"/>
      <c r="AE94"/>
      <c r="AF94"/>
      <c r="AG94"/>
      <c r="AH94"/>
      <c r="AI94"/>
      <c r="AJ94"/>
      <c r="AK94"/>
      <c r="AL94"/>
      <c r="AM94"/>
      <c r="AN94"/>
      <c r="AO94"/>
      <c r="AP94"/>
    </row>
    <row r="95" spans="1:42">
      <c r="A95" s="200"/>
      <c r="B95" s="200"/>
      <c r="C95" s="200"/>
      <c r="D95" s="200"/>
      <c r="E95" s="200"/>
      <c r="F95" s="200"/>
      <c r="G95" s="200"/>
      <c r="H95" s="200"/>
      <c r="I95" s="200"/>
      <c r="J95" s="200"/>
      <c r="K95" s="200"/>
      <c r="L95" s="200"/>
      <c r="M95" s="200"/>
      <c r="N95" s="200"/>
      <c r="O95" s="200"/>
      <c r="P95" s="200"/>
      <c r="Q95" s="200"/>
      <c r="R95" s="200"/>
      <c r="S95" s="200"/>
      <c r="T95" s="200"/>
      <c r="W95" s="53"/>
      <c r="X95" s="53"/>
      <c r="Y95" s="53"/>
      <c r="Z95" s="53"/>
      <c r="AE95"/>
      <c r="AF95"/>
      <c r="AG95"/>
      <c r="AH95"/>
      <c r="AI95"/>
      <c r="AJ95"/>
      <c r="AK95"/>
      <c r="AL95"/>
      <c r="AM95"/>
      <c r="AN95"/>
      <c r="AO95"/>
      <c r="AP95"/>
    </row>
    <row r="96" spans="1:42">
      <c r="A96" s="200"/>
      <c r="B96" s="200"/>
      <c r="C96" s="200"/>
      <c r="D96" s="200"/>
      <c r="E96" s="200"/>
      <c r="F96" s="200"/>
      <c r="G96" s="200"/>
      <c r="H96" s="200"/>
      <c r="I96" s="200"/>
      <c r="J96" s="200"/>
      <c r="K96" s="200"/>
      <c r="L96" s="200"/>
      <c r="M96" s="200"/>
      <c r="N96" s="200"/>
      <c r="O96" s="200"/>
      <c r="P96" s="200"/>
      <c r="Q96" s="200"/>
      <c r="R96" s="200"/>
      <c r="S96" s="200"/>
      <c r="T96" s="200"/>
      <c r="W96" s="53"/>
      <c r="X96" s="53"/>
      <c r="Y96" s="53"/>
      <c r="Z96" s="53"/>
      <c r="AE96"/>
      <c r="AF96"/>
      <c r="AG96"/>
      <c r="AH96"/>
      <c r="AI96"/>
      <c r="AJ96"/>
      <c r="AK96"/>
      <c r="AL96"/>
      <c r="AM96"/>
      <c r="AN96"/>
      <c r="AO96"/>
      <c r="AP96"/>
    </row>
    <row r="97" spans="1:42">
      <c r="A97" s="200"/>
      <c r="B97" s="200"/>
      <c r="C97" s="200"/>
      <c r="D97" s="200"/>
      <c r="E97" s="200"/>
      <c r="F97" s="200"/>
      <c r="G97" s="200"/>
      <c r="H97" s="200"/>
      <c r="I97" s="200"/>
      <c r="J97" s="200"/>
      <c r="K97" s="200"/>
      <c r="L97" s="200"/>
      <c r="M97" s="200"/>
      <c r="N97" s="200"/>
      <c r="O97" s="200"/>
      <c r="P97" s="200"/>
      <c r="Q97" s="200"/>
      <c r="R97" s="200"/>
      <c r="S97" s="200"/>
      <c r="T97" s="200"/>
      <c r="W97" s="53"/>
      <c r="X97" s="53"/>
      <c r="Y97" s="53"/>
      <c r="Z97" s="53"/>
      <c r="AE97"/>
      <c r="AF97"/>
      <c r="AG97"/>
      <c r="AH97"/>
      <c r="AI97"/>
      <c r="AJ97"/>
      <c r="AK97"/>
      <c r="AL97"/>
      <c r="AM97"/>
      <c r="AN97"/>
      <c r="AO97"/>
      <c r="AP97"/>
    </row>
    <row r="98" spans="1:42">
      <c r="A98" s="200"/>
      <c r="B98" s="200"/>
      <c r="C98" s="200"/>
      <c r="D98" s="200"/>
      <c r="E98" s="200"/>
      <c r="F98" s="200"/>
      <c r="G98" s="200"/>
      <c r="H98" s="200"/>
      <c r="I98" s="200"/>
      <c r="J98" s="200"/>
      <c r="K98" s="200"/>
      <c r="L98" s="200"/>
      <c r="M98" s="200"/>
      <c r="N98" s="200"/>
      <c r="O98" s="200"/>
      <c r="P98" s="200"/>
      <c r="Q98" s="200"/>
      <c r="R98" s="200"/>
      <c r="S98" s="200"/>
      <c r="T98" s="200"/>
      <c r="W98" s="53"/>
      <c r="X98" s="53"/>
      <c r="Y98" s="53"/>
      <c r="Z98" s="53"/>
      <c r="AE98"/>
      <c r="AF98"/>
      <c r="AG98"/>
      <c r="AH98"/>
      <c r="AI98"/>
      <c r="AJ98"/>
      <c r="AK98"/>
      <c r="AL98"/>
      <c r="AM98"/>
      <c r="AN98"/>
      <c r="AO98"/>
      <c r="AP98"/>
    </row>
    <row r="99" spans="1:42">
      <c r="A99" s="200"/>
      <c r="B99" s="200"/>
      <c r="C99" s="200"/>
      <c r="D99" s="200"/>
      <c r="E99" s="200"/>
      <c r="F99" s="200"/>
      <c r="G99" s="200"/>
      <c r="H99" s="200"/>
      <c r="I99" s="200"/>
      <c r="J99" s="200"/>
      <c r="K99" s="200"/>
      <c r="L99" s="200"/>
      <c r="M99" s="200"/>
      <c r="N99" s="200"/>
      <c r="O99" s="200"/>
      <c r="P99" s="200"/>
      <c r="Q99" s="200"/>
      <c r="R99" s="200"/>
      <c r="S99" s="200"/>
      <c r="T99" s="200"/>
      <c r="W99" s="53"/>
      <c r="X99" s="53"/>
      <c r="Y99" s="53"/>
      <c r="Z99" s="53"/>
      <c r="AE99"/>
      <c r="AF99"/>
      <c r="AG99"/>
      <c r="AH99"/>
      <c r="AI99"/>
      <c r="AJ99"/>
      <c r="AK99"/>
      <c r="AL99"/>
      <c r="AM99"/>
      <c r="AN99"/>
      <c r="AO99"/>
      <c r="AP99"/>
    </row>
    <row r="100" spans="1:42">
      <c r="A100" s="200"/>
      <c r="B100" s="200"/>
      <c r="C100" s="200"/>
      <c r="D100" s="200"/>
      <c r="E100" s="200"/>
      <c r="F100" s="200"/>
      <c r="G100" s="200"/>
      <c r="H100" s="200"/>
      <c r="I100" s="200"/>
      <c r="J100" s="200"/>
      <c r="K100" s="200"/>
      <c r="L100" s="200"/>
      <c r="M100" s="200"/>
      <c r="N100" s="200"/>
      <c r="O100" s="200"/>
      <c r="P100" s="200"/>
      <c r="Q100" s="200"/>
      <c r="R100" s="200"/>
      <c r="S100" s="200"/>
      <c r="T100" s="200"/>
      <c r="W100" s="53"/>
      <c r="X100" s="53"/>
      <c r="Y100" s="53"/>
      <c r="Z100" s="53"/>
      <c r="AE100"/>
      <c r="AF100"/>
      <c r="AG100"/>
      <c r="AH100"/>
      <c r="AI100"/>
      <c r="AJ100"/>
      <c r="AK100"/>
      <c r="AL100"/>
      <c r="AM100"/>
      <c r="AN100"/>
      <c r="AO100"/>
      <c r="AP100"/>
    </row>
    <row r="101" spans="1:42">
      <c r="A101" s="200"/>
      <c r="B101" s="200"/>
      <c r="C101" s="200"/>
      <c r="D101" s="200"/>
      <c r="E101" s="200"/>
      <c r="F101" s="200"/>
      <c r="G101" s="200"/>
      <c r="H101" s="200"/>
      <c r="I101" s="200"/>
      <c r="J101" s="200"/>
      <c r="K101" s="200"/>
      <c r="L101" s="200"/>
      <c r="M101" s="200"/>
      <c r="N101" s="200"/>
      <c r="O101" s="200"/>
      <c r="P101" s="200"/>
      <c r="Q101" s="200"/>
      <c r="R101" s="200"/>
      <c r="S101" s="200"/>
      <c r="T101" s="200"/>
      <c r="W101" s="53"/>
      <c r="X101" s="53"/>
      <c r="Y101" s="53"/>
      <c r="Z101" s="53"/>
      <c r="AE101"/>
      <c r="AF101"/>
      <c r="AG101"/>
      <c r="AH101"/>
      <c r="AI101"/>
      <c r="AJ101"/>
      <c r="AK101"/>
      <c r="AL101"/>
      <c r="AM101"/>
      <c r="AN101"/>
      <c r="AO101"/>
      <c r="AP101"/>
    </row>
    <row r="102" spans="1:42">
      <c r="A102" s="200"/>
      <c r="B102" s="200"/>
      <c r="C102" s="200"/>
      <c r="D102" s="200"/>
      <c r="E102" s="200"/>
      <c r="F102" s="200"/>
      <c r="G102" s="200"/>
      <c r="H102" s="200"/>
      <c r="I102" s="200"/>
      <c r="J102" s="200"/>
      <c r="K102" s="200"/>
      <c r="L102" s="200"/>
      <c r="M102" s="200"/>
      <c r="N102" s="200"/>
      <c r="O102" s="200"/>
      <c r="P102" s="200"/>
      <c r="Q102" s="200"/>
      <c r="R102" s="200"/>
      <c r="S102" s="200"/>
      <c r="T102" s="200"/>
      <c r="W102" s="53"/>
      <c r="X102" s="53"/>
      <c r="Y102" s="53"/>
      <c r="Z102" s="53"/>
      <c r="AE102"/>
      <c r="AF102"/>
      <c r="AG102"/>
      <c r="AH102"/>
      <c r="AI102"/>
      <c r="AJ102"/>
      <c r="AK102"/>
      <c r="AL102"/>
      <c r="AM102"/>
      <c r="AN102"/>
      <c r="AO102"/>
      <c r="AP102"/>
    </row>
    <row r="103" spans="1:42">
      <c r="A103" s="200"/>
      <c r="B103" s="200"/>
      <c r="C103" s="200"/>
      <c r="D103" s="200"/>
      <c r="E103" s="200"/>
      <c r="F103" s="200"/>
      <c r="G103" s="200"/>
      <c r="H103" s="200"/>
      <c r="I103" s="200"/>
      <c r="J103" s="200"/>
      <c r="K103" s="200"/>
      <c r="L103" s="200"/>
      <c r="M103" s="200"/>
      <c r="N103" s="200"/>
      <c r="O103" s="200"/>
      <c r="P103" s="200"/>
      <c r="Q103" s="200"/>
      <c r="R103" s="200"/>
      <c r="S103" s="200"/>
      <c r="T103" s="200"/>
      <c r="W103" s="53"/>
      <c r="X103" s="53"/>
      <c r="Y103" s="53"/>
      <c r="Z103" s="53"/>
      <c r="AE103"/>
      <c r="AF103"/>
      <c r="AG103"/>
      <c r="AH103"/>
      <c r="AI103"/>
      <c r="AJ103"/>
      <c r="AK103"/>
      <c r="AL103"/>
      <c r="AM103"/>
      <c r="AN103"/>
      <c r="AO103"/>
      <c r="AP103"/>
    </row>
    <row r="104" spans="1:42">
      <c r="A104" s="200"/>
      <c r="B104" s="200"/>
      <c r="C104" s="200"/>
      <c r="D104" s="200"/>
      <c r="E104" s="200"/>
      <c r="F104" s="200"/>
      <c r="G104" s="200"/>
      <c r="H104" s="200"/>
      <c r="I104" s="200"/>
      <c r="J104" s="200"/>
      <c r="K104" s="200"/>
      <c r="L104" s="200"/>
      <c r="M104" s="200"/>
      <c r="N104" s="200"/>
      <c r="O104" s="200"/>
      <c r="P104" s="200"/>
      <c r="Q104" s="200"/>
      <c r="R104" s="200"/>
      <c r="S104" s="200"/>
      <c r="T104" s="200"/>
      <c r="W104" s="53"/>
      <c r="X104" s="53"/>
      <c r="Y104" s="53"/>
      <c r="Z104" s="53"/>
      <c r="AE104"/>
      <c r="AF104"/>
      <c r="AG104"/>
      <c r="AH104"/>
      <c r="AI104"/>
      <c r="AJ104"/>
      <c r="AK104"/>
      <c r="AL104"/>
      <c r="AM104"/>
      <c r="AN104"/>
      <c r="AO104"/>
      <c r="AP104"/>
    </row>
    <row r="105" spans="1:42">
      <c r="A105" s="200"/>
      <c r="B105" s="200"/>
      <c r="C105" s="200"/>
      <c r="D105" s="200"/>
      <c r="E105" s="200"/>
      <c r="F105" s="200"/>
      <c r="G105" s="200"/>
      <c r="H105" s="200"/>
      <c r="I105" s="200"/>
      <c r="J105" s="200"/>
      <c r="K105" s="200"/>
      <c r="L105" s="200"/>
      <c r="M105" s="200"/>
      <c r="N105" s="200"/>
      <c r="O105" s="200"/>
      <c r="P105" s="200"/>
      <c r="Q105" s="200"/>
      <c r="R105" s="200"/>
      <c r="S105" s="200"/>
      <c r="T105" s="200"/>
      <c r="W105" s="53"/>
      <c r="X105" s="53"/>
      <c r="Y105" s="53"/>
      <c r="Z105" s="53"/>
      <c r="AE105"/>
      <c r="AF105"/>
      <c r="AG105"/>
      <c r="AH105"/>
      <c r="AI105"/>
      <c r="AJ105"/>
      <c r="AK105"/>
      <c r="AL105"/>
      <c r="AM105"/>
      <c r="AN105"/>
      <c r="AO105"/>
      <c r="AP105"/>
    </row>
    <row r="106" spans="1:42">
      <c r="A106" s="200"/>
      <c r="B106" s="200"/>
      <c r="C106" s="200"/>
      <c r="D106" s="200"/>
      <c r="E106" s="200"/>
      <c r="F106" s="200"/>
      <c r="G106" s="200"/>
      <c r="H106" s="200"/>
      <c r="I106" s="200"/>
      <c r="J106" s="200"/>
      <c r="K106" s="200"/>
      <c r="L106" s="200"/>
      <c r="M106" s="200"/>
      <c r="N106" s="200"/>
      <c r="O106" s="200"/>
      <c r="P106" s="200"/>
      <c r="Q106" s="200"/>
      <c r="R106" s="200"/>
      <c r="S106" s="200"/>
      <c r="T106" s="200"/>
      <c r="W106" s="53"/>
      <c r="X106" s="53"/>
      <c r="Y106" s="53"/>
      <c r="Z106" s="53"/>
      <c r="AE106"/>
      <c r="AF106"/>
      <c r="AG106"/>
      <c r="AH106"/>
      <c r="AI106"/>
      <c r="AJ106"/>
      <c r="AK106"/>
      <c r="AL106"/>
      <c r="AM106"/>
      <c r="AN106"/>
      <c r="AO106"/>
      <c r="AP106"/>
    </row>
    <row r="107" spans="1:42">
      <c r="A107" s="200"/>
      <c r="B107" s="200"/>
      <c r="C107" s="200"/>
      <c r="D107" s="200"/>
      <c r="E107" s="200"/>
      <c r="F107" s="200"/>
      <c r="G107" s="200"/>
      <c r="H107" s="200"/>
      <c r="I107" s="200"/>
      <c r="J107" s="200"/>
      <c r="K107" s="200"/>
      <c r="L107" s="200"/>
      <c r="M107" s="200"/>
      <c r="N107" s="200"/>
      <c r="O107" s="200"/>
      <c r="P107" s="200"/>
      <c r="Q107" s="200"/>
      <c r="R107" s="200"/>
      <c r="S107" s="200"/>
      <c r="T107" s="200"/>
      <c r="W107" s="53"/>
      <c r="X107" s="53"/>
      <c r="Y107" s="53"/>
      <c r="Z107" s="53"/>
      <c r="AE107"/>
      <c r="AF107"/>
      <c r="AG107"/>
      <c r="AH107"/>
      <c r="AI107"/>
      <c r="AJ107"/>
      <c r="AK107"/>
      <c r="AL107"/>
      <c r="AM107"/>
      <c r="AN107"/>
      <c r="AO107"/>
      <c r="AP107"/>
    </row>
    <row r="108" spans="1:42">
      <c r="A108" s="200"/>
      <c r="B108" s="200"/>
      <c r="C108" s="200"/>
      <c r="D108" s="200"/>
      <c r="E108" s="200"/>
      <c r="F108" s="200"/>
      <c r="G108" s="200"/>
      <c r="H108" s="200"/>
      <c r="I108" s="200"/>
      <c r="J108" s="200"/>
      <c r="K108" s="200"/>
      <c r="L108" s="200"/>
      <c r="M108" s="200"/>
      <c r="N108" s="200"/>
      <c r="O108" s="200"/>
      <c r="P108" s="200"/>
      <c r="Q108" s="200"/>
      <c r="R108" s="200"/>
      <c r="S108" s="200"/>
      <c r="T108" s="200"/>
      <c r="W108" s="53"/>
      <c r="X108" s="53"/>
      <c r="Y108" s="53"/>
      <c r="Z108" s="53"/>
      <c r="AE108"/>
      <c r="AF108"/>
      <c r="AG108"/>
      <c r="AH108"/>
      <c r="AI108"/>
      <c r="AJ108"/>
      <c r="AK108"/>
      <c r="AL108"/>
      <c r="AM108"/>
      <c r="AN108"/>
      <c r="AO108"/>
      <c r="AP108"/>
    </row>
    <row r="109" spans="1:42">
      <c r="A109" s="200"/>
      <c r="B109" s="200"/>
      <c r="C109" s="200"/>
      <c r="D109" s="200"/>
      <c r="E109" s="200"/>
      <c r="F109" s="200"/>
      <c r="G109" s="200"/>
      <c r="H109" s="200"/>
      <c r="I109" s="200"/>
      <c r="J109" s="200"/>
      <c r="K109" s="200"/>
      <c r="L109" s="200"/>
      <c r="M109" s="200"/>
      <c r="N109" s="200"/>
      <c r="O109" s="200"/>
      <c r="P109" s="200"/>
      <c r="Q109" s="200"/>
      <c r="R109" s="200"/>
      <c r="S109" s="200"/>
      <c r="T109" s="200"/>
      <c r="W109" s="53"/>
      <c r="X109" s="53"/>
      <c r="Y109" s="53"/>
      <c r="Z109" s="53"/>
      <c r="AE109"/>
      <c r="AF109"/>
      <c r="AG109"/>
      <c r="AH109"/>
      <c r="AI109"/>
      <c r="AJ109"/>
      <c r="AK109"/>
      <c r="AL109"/>
      <c r="AM109"/>
      <c r="AN109"/>
      <c r="AO109"/>
      <c r="AP109"/>
    </row>
    <row r="110" spans="1:42">
      <c r="A110" s="200"/>
      <c r="B110" s="200"/>
      <c r="C110" s="200"/>
      <c r="D110" s="200"/>
      <c r="E110" s="200"/>
      <c r="F110" s="200"/>
      <c r="G110" s="200"/>
      <c r="H110" s="200"/>
      <c r="I110" s="200"/>
      <c r="J110" s="200"/>
      <c r="K110" s="200"/>
      <c r="L110" s="200"/>
      <c r="M110" s="200"/>
      <c r="N110" s="200"/>
      <c r="O110" s="200"/>
      <c r="P110" s="200"/>
      <c r="Q110" s="200"/>
      <c r="R110" s="200"/>
      <c r="S110" s="200"/>
      <c r="T110" s="200"/>
      <c r="W110" s="53"/>
      <c r="X110" s="53"/>
      <c r="Y110" s="53"/>
      <c r="Z110" s="53"/>
      <c r="AE110"/>
      <c r="AF110"/>
      <c r="AG110"/>
      <c r="AH110"/>
      <c r="AI110"/>
      <c r="AJ110"/>
      <c r="AK110"/>
      <c r="AL110"/>
      <c r="AM110"/>
      <c r="AN110"/>
      <c r="AO110"/>
      <c r="AP110"/>
    </row>
    <row r="111" spans="1:42">
      <c r="A111" s="200"/>
      <c r="B111" s="200"/>
      <c r="C111" s="200"/>
      <c r="D111" s="200"/>
      <c r="E111" s="200"/>
      <c r="F111" s="200"/>
      <c r="G111" s="200"/>
      <c r="H111" s="200"/>
      <c r="I111" s="200"/>
      <c r="J111" s="200"/>
      <c r="K111" s="200"/>
      <c r="L111" s="200"/>
      <c r="M111" s="200"/>
      <c r="N111" s="200"/>
      <c r="O111" s="200"/>
      <c r="P111" s="200"/>
      <c r="Q111" s="200"/>
      <c r="R111" s="200"/>
      <c r="S111" s="200"/>
      <c r="T111" s="200"/>
      <c r="W111" s="53"/>
      <c r="X111" s="53"/>
      <c r="Y111" s="53"/>
      <c r="Z111" s="53"/>
      <c r="AE111"/>
      <c r="AF111"/>
      <c r="AG111"/>
      <c r="AH111"/>
      <c r="AI111"/>
      <c r="AJ111"/>
      <c r="AK111"/>
      <c r="AL111"/>
      <c r="AM111"/>
      <c r="AN111"/>
      <c r="AO111"/>
      <c r="AP111"/>
    </row>
    <row r="112" spans="1:42">
      <c r="A112" s="200"/>
      <c r="B112" s="200"/>
      <c r="C112" s="200"/>
      <c r="D112" s="200"/>
      <c r="E112" s="200"/>
      <c r="F112" s="200"/>
      <c r="G112" s="200"/>
      <c r="H112" s="200"/>
      <c r="I112" s="200"/>
      <c r="J112" s="200"/>
      <c r="K112" s="200"/>
      <c r="L112" s="200"/>
      <c r="M112" s="200"/>
      <c r="N112" s="200"/>
      <c r="O112" s="200"/>
      <c r="P112" s="200"/>
      <c r="Q112" s="200"/>
      <c r="R112" s="200"/>
      <c r="S112" s="200"/>
      <c r="T112" s="200"/>
      <c r="W112" s="53"/>
      <c r="X112" s="53"/>
      <c r="Y112" s="53"/>
      <c r="Z112" s="53"/>
      <c r="AE112"/>
      <c r="AF112"/>
      <c r="AG112"/>
      <c r="AH112"/>
      <c r="AI112"/>
      <c r="AJ112"/>
      <c r="AK112"/>
      <c r="AL112"/>
      <c r="AM112"/>
      <c r="AN112"/>
      <c r="AO112"/>
      <c r="AP112"/>
    </row>
    <row r="113" spans="1:42">
      <c r="A113" s="200"/>
      <c r="B113" s="200"/>
      <c r="C113" s="200"/>
      <c r="D113" s="200"/>
      <c r="E113" s="200"/>
      <c r="F113" s="200"/>
      <c r="G113" s="200"/>
      <c r="H113" s="200"/>
      <c r="I113" s="200"/>
      <c r="J113" s="200"/>
      <c r="K113" s="200"/>
      <c r="L113" s="200"/>
      <c r="M113" s="200"/>
      <c r="N113" s="200"/>
      <c r="O113" s="200"/>
      <c r="P113" s="200"/>
      <c r="Q113" s="200"/>
      <c r="R113" s="200"/>
      <c r="S113" s="200"/>
      <c r="T113" s="200"/>
      <c r="W113" s="53"/>
      <c r="X113" s="53"/>
      <c r="Y113" s="53"/>
      <c r="Z113" s="53"/>
      <c r="AE113"/>
      <c r="AF113"/>
      <c r="AG113"/>
      <c r="AH113"/>
      <c r="AI113"/>
      <c r="AJ113"/>
      <c r="AK113"/>
      <c r="AL113"/>
      <c r="AM113"/>
      <c r="AN113"/>
      <c r="AO113"/>
      <c r="AP113"/>
    </row>
    <row r="114" spans="1:42">
      <c r="A114" s="200"/>
      <c r="B114" s="200"/>
      <c r="C114" s="200"/>
      <c r="D114" s="200"/>
      <c r="E114" s="200"/>
      <c r="F114" s="200"/>
      <c r="G114" s="200"/>
      <c r="H114" s="200"/>
      <c r="I114" s="200"/>
      <c r="J114" s="200"/>
      <c r="K114" s="200"/>
      <c r="L114" s="200"/>
      <c r="M114" s="200"/>
      <c r="N114" s="200"/>
      <c r="O114" s="200"/>
      <c r="P114" s="200"/>
      <c r="Q114" s="200"/>
      <c r="R114" s="200"/>
      <c r="S114" s="200"/>
      <c r="T114" s="200"/>
      <c r="W114" s="53"/>
      <c r="X114" s="53"/>
      <c r="Y114" s="53"/>
      <c r="Z114" s="53"/>
      <c r="AE114"/>
      <c r="AF114"/>
      <c r="AG114"/>
      <c r="AH114"/>
      <c r="AI114"/>
      <c r="AJ114"/>
      <c r="AK114"/>
      <c r="AL114"/>
      <c r="AM114"/>
      <c r="AN114"/>
      <c r="AO114"/>
      <c r="AP114"/>
    </row>
    <row r="115" spans="1:42">
      <c r="A115" s="200"/>
      <c r="B115" s="200"/>
      <c r="C115" s="200"/>
      <c r="D115" s="200"/>
      <c r="E115" s="200"/>
      <c r="F115" s="200"/>
      <c r="G115" s="200"/>
      <c r="H115" s="200"/>
      <c r="I115" s="200"/>
      <c r="J115" s="200"/>
      <c r="K115" s="200"/>
      <c r="L115" s="200"/>
      <c r="M115" s="200"/>
      <c r="N115" s="200"/>
      <c r="O115" s="200"/>
      <c r="P115" s="200"/>
      <c r="Q115" s="200"/>
      <c r="R115" s="200"/>
      <c r="S115" s="200"/>
      <c r="T115" s="200"/>
      <c r="W115" s="53"/>
      <c r="X115" s="53"/>
      <c r="Y115" s="53"/>
      <c r="Z115" s="53"/>
      <c r="AE115"/>
      <c r="AF115"/>
      <c r="AG115"/>
      <c r="AH115"/>
      <c r="AI115"/>
      <c r="AJ115"/>
      <c r="AK115"/>
      <c r="AL115"/>
      <c r="AM115"/>
      <c r="AN115"/>
      <c r="AO115"/>
      <c r="AP115"/>
    </row>
    <row r="116" spans="1:42">
      <c r="A116" s="200"/>
      <c r="B116" s="200"/>
      <c r="C116" s="200"/>
      <c r="D116" s="200"/>
      <c r="E116" s="200"/>
      <c r="F116" s="200"/>
      <c r="G116" s="200"/>
      <c r="H116" s="200"/>
      <c r="I116" s="200"/>
      <c r="J116" s="200"/>
      <c r="K116" s="200"/>
      <c r="L116" s="200"/>
      <c r="M116" s="200"/>
      <c r="N116" s="200"/>
      <c r="O116" s="200"/>
      <c r="P116" s="200"/>
      <c r="Q116" s="200"/>
      <c r="R116" s="200"/>
      <c r="S116" s="200"/>
      <c r="T116" s="200"/>
      <c r="W116" s="53"/>
      <c r="X116" s="53"/>
      <c r="Y116" s="53"/>
      <c r="Z116" s="53"/>
      <c r="AE116"/>
      <c r="AF116"/>
      <c r="AG116"/>
      <c r="AH116"/>
      <c r="AI116"/>
      <c r="AJ116"/>
      <c r="AK116"/>
      <c r="AL116"/>
      <c r="AM116"/>
      <c r="AN116"/>
      <c r="AO116"/>
      <c r="AP116"/>
    </row>
    <row r="117" spans="1:42">
      <c r="A117" s="200"/>
      <c r="B117" s="200"/>
      <c r="C117" s="200"/>
      <c r="D117" s="200"/>
      <c r="E117" s="200"/>
      <c r="F117" s="200"/>
      <c r="G117" s="200"/>
      <c r="H117" s="200"/>
      <c r="I117" s="200"/>
      <c r="J117" s="200"/>
      <c r="K117" s="200"/>
      <c r="L117" s="200"/>
      <c r="M117" s="200"/>
      <c r="N117" s="200"/>
      <c r="O117" s="200"/>
      <c r="P117" s="200"/>
      <c r="Q117" s="200"/>
      <c r="R117" s="200"/>
      <c r="S117" s="200"/>
      <c r="T117" s="200"/>
      <c r="W117" s="53"/>
      <c r="X117" s="53"/>
      <c r="Y117" s="53"/>
      <c r="Z117" s="53"/>
      <c r="AE117"/>
      <c r="AF117"/>
      <c r="AG117"/>
      <c r="AH117"/>
      <c r="AI117"/>
      <c r="AJ117"/>
      <c r="AK117"/>
      <c r="AL117"/>
      <c r="AM117"/>
      <c r="AN117"/>
      <c r="AO117"/>
      <c r="AP117"/>
    </row>
    <row r="118" spans="1:42">
      <c r="A118" s="200"/>
      <c r="B118" s="200"/>
      <c r="C118" s="200"/>
      <c r="D118" s="200"/>
      <c r="E118" s="200"/>
      <c r="F118" s="200"/>
      <c r="G118" s="200"/>
      <c r="H118" s="200"/>
      <c r="I118" s="200"/>
      <c r="J118" s="200"/>
      <c r="K118" s="200"/>
      <c r="L118" s="200"/>
      <c r="M118" s="200"/>
      <c r="N118" s="200"/>
      <c r="O118" s="200"/>
      <c r="P118" s="200"/>
      <c r="Q118" s="200"/>
      <c r="R118" s="200"/>
      <c r="S118" s="200"/>
      <c r="T118" s="200"/>
      <c r="W118" s="53"/>
      <c r="X118" s="53"/>
      <c r="Y118" s="53"/>
      <c r="Z118" s="53"/>
      <c r="AE118"/>
      <c r="AF118"/>
      <c r="AG118"/>
      <c r="AH118"/>
      <c r="AI118"/>
      <c r="AJ118"/>
      <c r="AK118"/>
      <c r="AL118"/>
      <c r="AM118"/>
      <c r="AN118"/>
      <c r="AO118"/>
      <c r="AP118"/>
    </row>
    <row r="119" spans="1:42">
      <c r="A119" s="200"/>
      <c r="B119" s="200"/>
      <c r="C119" s="200"/>
      <c r="D119" s="200"/>
      <c r="E119" s="200"/>
      <c r="F119" s="200"/>
      <c r="G119" s="200"/>
      <c r="H119" s="200"/>
      <c r="I119" s="200"/>
      <c r="J119" s="200"/>
      <c r="K119" s="200"/>
      <c r="L119" s="200"/>
      <c r="M119" s="200"/>
      <c r="N119" s="200"/>
      <c r="O119" s="200"/>
      <c r="P119" s="200"/>
      <c r="Q119" s="200"/>
      <c r="R119" s="200"/>
      <c r="S119" s="200"/>
      <c r="T119" s="200"/>
      <c r="W119" s="53"/>
      <c r="X119" s="53"/>
      <c r="Y119" s="53"/>
      <c r="Z119" s="53"/>
      <c r="AE119"/>
      <c r="AF119"/>
      <c r="AG119"/>
      <c r="AH119"/>
      <c r="AI119"/>
      <c r="AJ119"/>
      <c r="AK119"/>
      <c r="AL119"/>
      <c r="AM119"/>
      <c r="AN119"/>
      <c r="AO119"/>
      <c r="AP119"/>
    </row>
    <row r="120" spans="1:42">
      <c r="A120" s="200"/>
      <c r="B120" s="200"/>
      <c r="C120" s="200"/>
      <c r="D120" s="200"/>
      <c r="E120" s="200"/>
      <c r="F120" s="200"/>
      <c r="G120" s="200"/>
      <c r="H120" s="200"/>
      <c r="I120" s="200"/>
      <c r="J120" s="200"/>
      <c r="K120" s="200"/>
      <c r="L120" s="200"/>
      <c r="M120" s="200"/>
      <c r="N120" s="200"/>
      <c r="O120" s="200"/>
      <c r="P120" s="200"/>
      <c r="Q120" s="200"/>
      <c r="R120" s="200"/>
      <c r="S120" s="200"/>
      <c r="T120" s="200"/>
      <c r="W120" s="53"/>
      <c r="X120" s="53"/>
      <c r="Y120" s="53"/>
      <c r="Z120" s="53"/>
      <c r="AE120"/>
      <c r="AF120"/>
      <c r="AG120"/>
      <c r="AH120"/>
      <c r="AI120"/>
      <c r="AJ120"/>
      <c r="AK120"/>
      <c r="AL120"/>
      <c r="AM120"/>
      <c r="AN120"/>
      <c r="AO120"/>
      <c r="AP120"/>
    </row>
    <row r="121" spans="1:42">
      <c r="A121" s="200"/>
      <c r="B121" s="200"/>
      <c r="C121" s="200"/>
      <c r="D121" s="200"/>
      <c r="E121" s="200"/>
      <c r="F121" s="200"/>
      <c r="G121" s="200"/>
      <c r="H121" s="200"/>
      <c r="I121" s="200"/>
      <c r="J121" s="200"/>
      <c r="K121" s="200"/>
      <c r="L121" s="200"/>
      <c r="M121" s="200"/>
      <c r="N121" s="200"/>
      <c r="O121" s="200"/>
      <c r="P121" s="200"/>
      <c r="Q121" s="200"/>
      <c r="R121" s="200"/>
      <c r="S121" s="200"/>
      <c r="T121" s="200"/>
      <c r="W121" s="53"/>
      <c r="X121" s="53"/>
      <c r="Y121" s="53"/>
      <c r="Z121" s="53"/>
      <c r="AE121"/>
      <c r="AF121"/>
      <c r="AG121"/>
      <c r="AH121"/>
      <c r="AI121"/>
      <c r="AJ121"/>
      <c r="AK121"/>
      <c r="AL121"/>
      <c r="AM121"/>
      <c r="AN121"/>
      <c r="AO121"/>
      <c r="AP121"/>
    </row>
    <row r="122" spans="1:42">
      <c r="A122" s="200"/>
      <c r="B122" s="200"/>
      <c r="C122" s="200"/>
      <c r="D122" s="200"/>
      <c r="E122" s="200"/>
      <c r="F122" s="200"/>
      <c r="G122" s="200"/>
      <c r="H122" s="200"/>
      <c r="I122" s="200"/>
      <c r="J122" s="200"/>
      <c r="K122" s="200"/>
      <c r="L122" s="200"/>
      <c r="M122" s="200"/>
      <c r="N122" s="200"/>
      <c r="O122" s="200"/>
      <c r="P122" s="200"/>
      <c r="Q122" s="200"/>
      <c r="R122" s="200"/>
      <c r="S122" s="200"/>
      <c r="T122" s="200"/>
      <c r="W122" s="53"/>
      <c r="X122" s="53"/>
      <c r="Y122" s="53"/>
      <c r="Z122" s="53"/>
      <c r="AE122"/>
      <c r="AF122"/>
      <c r="AG122"/>
      <c r="AH122"/>
      <c r="AI122"/>
      <c r="AJ122"/>
      <c r="AK122"/>
      <c r="AL122"/>
      <c r="AM122"/>
      <c r="AN122"/>
      <c r="AO122"/>
      <c r="AP122"/>
    </row>
    <row r="123" spans="1:42">
      <c r="A123" s="200"/>
      <c r="B123" s="200"/>
      <c r="C123" s="200"/>
      <c r="D123" s="200"/>
      <c r="E123" s="200"/>
      <c r="F123" s="200"/>
      <c r="G123" s="200"/>
      <c r="H123" s="200"/>
      <c r="I123" s="200"/>
      <c r="J123" s="200"/>
      <c r="K123" s="200"/>
      <c r="L123" s="200"/>
      <c r="M123" s="200"/>
      <c r="N123" s="200"/>
      <c r="O123" s="200"/>
      <c r="P123" s="200"/>
      <c r="Q123" s="200"/>
      <c r="R123" s="200"/>
      <c r="S123" s="200"/>
      <c r="T123" s="200"/>
      <c r="W123" s="53"/>
      <c r="X123" s="53"/>
      <c r="Y123" s="53"/>
      <c r="Z123" s="53"/>
      <c r="AE123"/>
      <c r="AF123"/>
      <c r="AG123"/>
      <c r="AH123"/>
      <c r="AI123"/>
      <c r="AJ123"/>
      <c r="AK123"/>
      <c r="AL123"/>
      <c r="AM123"/>
      <c r="AN123"/>
      <c r="AO123"/>
      <c r="AP123"/>
    </row>
    <row r="124" spans="1:42">
      <c r="A124" s="200"/>
      <c r="B124" s="200"/>
      <c r="C124" s="200"/>
      <c r="D124" s="200"/>
      <c r="E124" s="200"/>
      <c r="F124" s="200"/>
      <c r="G124" s="200"/>
      <c r="H124" s="200"/>
      <c r="I124" s="200"/>
      <c r="J124" s="200"/>
      <c r="K124" s="200"/>
      <c r="L124" s="200"/>
      <c r="M124" s="200"/>
      <c r="N124" s="200"/>
      <c r="O124" s="200"/>
      <c r="P124" s="200"/>
      <c r="Q124" s="200"/>
      <c r="R124" s="200"/>
      <c r="S124" s="200"/>
      <c r="T124" s="200"/>
      <c r="W124" s="53"/>
      <c r="X124" s="53"/>
      <c r="Y124" s="53"/>
      <c r="Z124" s="53"/>
      <c r="AE124"/>
      <c r="AF124"/>
      <c r="AG124"/>
      <c r="AH124"/>
      <c r="AI124"/>
      <c r="AJ124"/>
      <c r="AK124"/>
      <c r="AL124"/>
      <c r="AM124"/>
      <c r="AN124"/>
      <c r="AO124"/>
      <c r="AP124"/>
    </row>
    <row r="125" spans="1:42">
      <c r="A125" s="200"/>
      <c r="B125" s="200"/>
      <c r="C125" s="200"/>
      <c r="D125" s="200"/>
      <c r="E125" s="200"/>
      <c r="F125" s="200"/>
      <c r="G125" s="200"/>
      <c r="H125" s="200"/>
      <c r="I125" s="200"/>
      <c r="J125" s="200"/>
      <c r="K125" s="200"/>
      <c r="L125" s="200"/>
      <c r="M125" s="200"/>
      <c r="N125" s="200"/>
      <c r="O125" s="200"/>
      <c r="P125" s="200"/>
      <c r="Q125" s="200"/>
      <c r="R125" s="200"/>
      <c r="S125" s="200"/>
      <c r="T125" s="200"/>
      <c r="W125" s="53"/>
      <c r="X125" s="53"/>
      <c r="Y125" s="53"/>
      <c r="Z125" s="53"/>
      <c r="AE125"/>
      <c r="AF125"/>
      <c r="AG125"/>
      <c r="AH125"/>
      <c r="AI125"/>
      <c r="AJ125"/>
      <c r="AK125"/>
      <c r="AL125"/>
      <c r="AM125"/>
      <c r="AN125"/>
      <c r="AO125"/>
      <c r="AP125"/>
    </row>
    <row r="126" spans="1:42" ht="15.6">
      <c r="A126" s="215" t="s">
        <v>77</v>
      </c>
      <c r="B126" s="215"/>
      <c r="C126" s="215"/>
      <c r="D126" s="215"/>
      <c r="E126" s="215"/>
      <c r="F126" s="215"/>
      <c r="G126" s="215"/>
      <c r="AI126" s="53"/>
      <c r="AJ126" s="53"/>
      <c r="AK126" s="53"/>
      <c r="AL126" s="53"/>
    </row>
    <row r="128" spans="1:42">
      <c r="A128" s="53" t="s">
        <v>42</v>
      </c>
      <c r="B128" s="53" t="s">
        <v>43</v>
      </c>
      <c r="C128" s="53" t="s">
        <v>13</v>
      </c>
      <c r="D128" s="53" t="s">
        <v>83</v>
      </c>
      <c r="E128" s="53" t="s">
        <v>84</v>
      </c>
      <c r="F128" s="53" t="s">
        <v>44</v>
      </c>
      <c r="G128" s="53" t="s">
        <v>85</v>
      </c>
      <c r="H128" s="53" t="s">
        <v>86</v>
      </c>
      <c r="I128" s="53" t="s">
        <v>10</v>
      </c>
      <c r="J128" s="53" t="s">
        <v>138</v>
      </c>
      <c r="K128" s="53" t="s">
        <v>4</v>
      </c>
      <c r="L128" s="53" t="s">
        <v>135</v>
      </c>
      <c r="M128" s="53" t="s">
        <v>189</v>
      </c>
      <c r="N128" s="53" t="s">
        <v>5</v>
      </c>
      <c r="O128" s="53" t="s">
        <v>123</v>
      </c>
      <c r="P128" s="53" t="s">
        <v>131</v>
      </c>
      <c r="Q128" s="53" t="s">
        <v>186</v>
      </c>
      <c r="R128" s="53" t="s">
        <v>187</v>
      </c>
      <c r="S128" s="22" t="s">
        <v>136</v>
      </c>
      <c r="T128" s="149" t="s">
        <v>188</v>
      </c>
      <c r="AB128"/>
      <c r="AC128"/>
      <c r="AD128"/>
      <c r="AE128"/>
      <c r="AF128"/>
      <c r="AG128"/>
      <c r="AH128"/>
      <c r="AI128"/>
      <c r="AJ128"/>
      <c r="AK128"/>
      <c r="AL128"/>
      <c r="AM128"/>
      <c r="AN128"/>
      <c r="AO128"/>
      <c r="AP128"/>
    </row>
    <row r="129" spans="1:42" hidden="1">
      <c r="A129" s="22" t="s">
        <v>94</v>
      </c>
      <c r="B129" s="22" t="s">
        <v>111</v>
      </c>
      <c r="C129" s="22" t="s">
        <v>112</v>
      </c>
      <c r="D129" s="22" t="s">
        <v>88</v>
      </c>
      <c r="E129" s="22" t="s">
        <v>93</v>
      </c>
      <c r="F129" s="22" t="s">
        <v>94</v>
      </c>
      <c r="G129" s="22"/>
      <c r="H129" s="22" t="s">
        <v>113</v>
      </c>
      <c r="I129" s="22">
        <v>-0.28999999999999998</v>
      </c>
      <c r="J129" s="22"/>
      <c r="K129" s="22">
        <v>0</v>
      </c>
      <c r="L129" s="53">
        <v>0</v>
      </c>
      <c r="M129" s="53"/>
      <c r="N129" s="95">
        <v>0</v>
      </c>
      <c r="O129" s="95"/>
      <c r="P129" s="95"/>
      <c r="Q129" s="95"/>
      <c r="R129" s="95"/>
      <c r="S129" s="22">
        <v>0</v>
      </c>
      <c r="T129" s="149"/>
      <c r="AB129"/>
      <c r="AC129"/>
      <c r="AD129"/>
      <c r="AE129"/>
      <c r="AF129"/>
      <c r="AG129"/>
      <c r="AH129"/>
      <c r="AI129"/>
      <c r="AJ129"/>
      <c r="AK129"/>
      <c r="AL129"/>
      <c r="AM129"/>
      <c r="AN129"/>
      <c r="AO129"/>
      <c r="AP129"/>
    </row>
    <row r="130" spans="1:42" hidden="1">
      <c r="A130" s="53" t="s">
        <v>94</v>
      </c>
      <c r="B130" s="53" t="s">
        <v>89</v>
      </c>
      <c r="C130" s="53" t="s">
        <v>95</v>
      </c>
      <c r="D130" s="53" t="s">
        <v>96</v>
      </c>
      <c r="E130" s="53" t="s">
        <v>88</v>
      </c>
      <c r="F130" s="53" t="s">
        <v>97</v>
      </c>
      <c r="G130" s="53"/>
      <c r="H130" s="53" t="s">
        <v>98</v>
      </c>
      <c r="I130" s="53">
        <v>185000</v>
      </c>
      <c r="J130" s="53"/>
      <c r="K130" s="53"/>
      <c r="L130" s="53"/>
      <c r="M130" s="53"/>
      <c r="N130" s="95"/>
      <c r="O130" s="95"/>
      <c r="P130" s="95"/>
      <c r="Q130" s="95"/>
      <c r="R130" s="95"/>
      <c r="S130" s="22">
        <v>185000</v>
      </c>
      <c r="T130" s="149"/>
      <c r="AB130"/>
      <c r="AC130"/>
      <c r="AD130"/>
      <c r="AE130"/>
      <c r="AF130"/>
      <c r="AG130"/>
      <c r="AH130"/>
      <c r="AI130"/>
      <c r="AJ130"/>
      <c r="AK130"/>
      <c r="AL130"/>
      <c r="AM130"/>
      <c r="AN130"/>
      <c r="AO130"/>
      <c r="AP130"/>
    </row>
    <row r="131" spans="1:42" hidden="1">
      <c r="A131" s="53" t="s">
        <v>94</v>
      </c>
      <c r="B131" s="53" t="s">
        <v>89</v>
      </c>
      <c r="C131" s="53" t="s">
        <v>105</v>
      </c>
      <c r="D131" s="53" t="s">
        <v>93</v>
      </c>
      <c r="E131" s="53" t="s">
        <v>88</v>
      </c>
      <c r="F131" s="53" t="s">
        <v>109</v>
      </c>
      <c r="G131" s="53"/>
      <c r="H131" s="53" t="s">
        <v>106</v>
      </c>
      <c r="I131" s="53">
        <v>344267</v>
      </c>
      <c r="J131" s="53"/>
      <c r="K131" s="53"/>
      <c r="L131" s="53"/>
      <c r="M131" s="53"/>
      <c r="N131" s="95"/>
      <c r="O131" s="95"/>
      <c r="P131" s="95"/>
      <c r="Q131" s="95"/>
      <c r="R131" s="95"/>
      <c r="S131" s="22">
        <v>344267</v>
      </c>
      <c r="T131" s="149"/>
      <c r="AB131"/>
      <c r="AC131"/>
      <c r="AD131"/>
      <c r="AE131"/>
      <c r="AF131"/>
      <c r="AG131"/>
      <c r="AH131"/>
      <c r="AI131"/>
      <c r="AJ131"/>
      <c r="AK131"/>
      <c r="AL131"/>
      <c r="AM131"/>
      <c r="AN131"/>
      <c r="AO131"/>
      <c r="AP131"/>
    </row>
    <row r="132" spans="1:42" hidden="1">
      <c r="A132" s="53" t="s">
        <v>94</v>
      </c>
      <c r="B132" s="53" t="s">
        <v>90</v>
      </c>
      <c r="C132" s="53" t="s">
        <v>100</v>
      </c>
      <c r="D132" s="53" t="s">
        <v>88</v>
      </c>
      <c r="E132" s="53" t="s">
        <v>101</v>
      </c>
      <c r="F132" s="53" t="s">
        <v>102</v>
      </c>
      <c r="G132" s="53"/>
      <c r="H132" s="53" t="s">
        <v>103</v>
      </c>
      <c r="I132" s="53">
        <v>-193259</v>
      </c>
      <c r="J132" s="53"/>
      <c r="K132" s="53">
        <v>-193259</v>
      </c>
      <c r="L132" s="53"/>
      <c r="M132" s="53"/>
      <c r="N132" s="95"/>
      <c r="O132" s="95"/>
      <c r="P132" s="95"/>
      <c r="Q132" s="95"/>
      <c r="R132" s="95"/>
      <c r="S132" s="22"/>
      <c r="T132" s="148"/>
      <c r="U132"/>
      <c r="V132"/>
      <c r="W132"/>
      <c r="X132"/>
      <c r="Y132"/>
      <c r="Z132"/>
      <c r="AA132"/>
      <c r="AB132"/>
      <c r="AC132"/>
      <c r="AD132"/>
      <c r="AE132"/>
      <c r="AF132"/>
      <c r="AG132"/>
      <c r="AH132"/>
      <c r="AI132"/>
      <c r="AJ132"/>
      <c r="AK132"/>
      <c r="AL132"/>
      <c r="AM132"/>
      <c r="AN132"/>
      <c r="AO132"/>
      <c r="AP132"/>
    </row>
    <row r="133" spans="1:42" hidden="1">
      <c r="A133" s="53" t="s">
        <v>107</v>
      </c>
      <c r="B133" s="53" t="s">
        <v>90</v>
      </c>
      <c r="C133" s="53" t="s">
        <v>117</v>
      </c>
      <c r="D133" s="53" t="s">
        <v>88</v>
      </c>
      <c r="E133" s="53" t="s">
        <v>93</v>
      </c>
      <c r="F133" s="53" t="s">
        <v>102</v>
      </c>
      <c r="G133" s="53"/>
      <c r="H133" s="53" t="s">
        <v>118</v>
      </c>
      <c r="I133" s="53">
        <v>-246348.83</v>
      </c>
      <c r="J133" s="53"/>
      <c r="K133" s="53"/>
      <c r="L133" s="53"/>
      <c r="M133" s="53"/>
      <c r="N133" s="95"/>
      <c r="O133" s="95"/>
      <c r="P133" s="95"/>
      <c r="Q133" s="95"/>
      <c r="R133" s="95"/>
      <c r="S133" s="22">
        <v>-246348.83</v>
      </c>
      <c r="T133" s="148"/>
      <c r="U133"/>
      <c r="V133"/>
      <c r="W133"/>
      <c r="X133"/>
      <c r="Y133"/>
      <c r="Z133"/>
      <c r="AA133"/>
      <c r="AB133"/>
      <c r="AC133"/>
      <c r="AD133"/>
      <c r="AE133"/>
      <c r="AF133"/>
      <c r="AG133"/>
      <c r="AH133"/>
      <c r="AI133"/>
      <c r="AJ133"/>
      <c r="AK133"/>
      <c r="AL133"/>
      <c r="AM133"/>
      <c r="AN133"/>
      <c r="AO133"/>
      <c r="AP133"/>
    </row>
    <row r="134" spans="1:42" hidden="1">
      <c r="A134" s="53" t="s">
        <v>107</v>
      </c>
      <c r="B134" s="53" t="s">
        <v>92</v>
      </c>
      <c r="C134" s="53" t="s">
        <v>105</v>
      </c>
      <c r="D134" s="53" t="s">
        <v>88</v>
      </c>
      <c r="E134" s="53" t="s">
        <v>93</v>
      </c>
      <c r="F134" s="53"/>
      <c r="G134" s="53"/>
      <c r="H134" s="53" t="s">
        <v>108</v>
      </c>
      <c r="I134" s="53">
        <v>-344267</v>
      </c>
      <c r="J134" s="53"/>
      <c r="K134" s="53"/>
      <c r="L134" s="53"/>
      <c r="M134" s="53"/>
      <c r="N134" s="95"/>
      <c r="O134" s="95"/>
      <c r="P134" s="95"/>
      <c r="Q134" s="95"/>
      <c r="R134" s="95"/>
      <c r="S134" s="22">
        <v>-344267</v>
      </c>
      <c r="T134" s="148"/>
      <c r="U134"/>
      <c r="V134"/>
      <c r="W134"/>
      <c r="X134"/>
      <c r="Y134"/>
      <c r="Z134"/>
      <c r="AA134"/>
      <c r="AB134"/>
      <c r="AC134"/>
      <c r="AD134"/>
      <c r="AE134"/>
      <c r="AF134"/>
      <c r="AG134"/>
      <c r="AH134"/>
      <c r="AI134"/>
      <c r="AJ134"/>
      <c r="AK134"/>
      <c r="AL134"/>
      <c r="AM134"/>
      <c r="AN134"/>
      <c r="AO134"/>
      <c r="AP134"/>
    </row>
    <row r="135" spans="1:42" hidden="1">
      <c r="A135" s="61" t="s">
        <v>102</v>
      </c>
      <c r="B135" s="61" t="s">
        <v>89</v>
      </c>
      <c r="C135" s="61" t="s">
        <v>114</v>
      </c>
      <c r="D135" s="61" t="s">
        <v>101</v>
      </c>
      <c r="E135" s="61" t="s">
        <v>88</v>
      </c>
      <c r="F135" s="61" t="s">
        <v>115</v>
      </c>
      <c r="G135" s="61"/>
      <c r="H135" s="61" t="s">
        <v>116</v>
      </c>
      <c r="I135" s="61">
        <v>105000</v>
      </c>
      <c r="J135" s="61"/>
      <c r="K135" s="61">
        <v>105000</v>
      </c>
      <c r="L135" s="61"/>
      <c r="M135" s="61"/>
      <c r="N135" s="96"/>
      <c r="O135" s="96"/>
      <c r="P135" s="96"/>
      <c r="Q135" s="96"/>
      <c r="R135" s="96"/>
      <c r="T135" s="148"/>
      <c r="U135"/>
      <c r="V135"/>
      <c r="W135"/>
      <c r="X135"/>
      <c r="Y135"/>
      <c r="Z135"/>
      <c r="AA135"/>
      <c r="AB135"/>
      <c r="AC135"/>
      <c r="AD135"/>
      <c r="AE135"/>
      <c r="AF135"/>
      <c r="AG135"/>
      <c r="AH135"/>
      <c r="AI135"/>
      <c r="AJ135"/>
      <c r="AK135"/>
      <c r="AL135"/>
      <c r="AM135"/>
      <c r="AN135"/>
      <c r="AO135"/>
      <c r="AP135"/>
    </row>
    <row r="136" spans="1:42" hidden="1">
      <c r="A136" s="73" t="s">
        <v>102</v>
      </c>
      <c r="B136" s="73" t="s">
        <v>91</v>
      </c>
      <c r="C136" s="73" t="s">
        <v>100</v>
      </c>
      <c r="D136" s="73" t="s">
        <v>101</v>
      </c>
      <c r="E136" s="73" t="s">
        <v>88</v>
      </c>
      <c r="F136" s="73" t="s">
        <v>102</v>
      </c>
      <c r="G136" s="73"/>
      <c r="H136" s="73" t="s">
        <v>104</v>
      </c>
      <c r="I136" s="73">
        <v>193259</v>
      </c>
      <c r="J136" s="73"/>
      <c r="K136" s="73">
        <v>193259</v>
      </c>
      <c r="L136" s="73"/>
      <c r="M136" s="73"/>
      <c r="N136" s="96"/>
      <c r="O136" s="96"/>
      <c r="P136" s="96"/>
      <c r="Q136" s="96"/>
      <c r="R136" s="96"/>
      <c r="T136" s="148"/>
      <c r="U136"/>
      <c r="V136"/>
      <c r="W136"/>
      <c r="X136"/>
      <c r="Y136"/>
      <c r="Z136"/>
      <c r="AA136"/>
      <c r="AB136"/>
      <c r="AC136"/>
      <c r="AD136"/>
      <c r="AE136"/>
      <c r="AF136"/>
      <c r="AG136"/>
      <c r="AH136"/>
      <c r="AI136"/>
      <c r="AJ136"/>
      <c r="AK136"/>
      <c r="AL136"/>
      <c r="AM136"/>
      <c r="AN136"/>
      <c r="AO136"/>
      <c r="AP136"/>
    </row>
    <row r="137" spans="1:42" hidden="1">
      <c r="A137" s="73" t="s">
        <v>102</v>
      </c>
      <c r="B137" s="73" t="s">
        <v>91</v>
      </c>
      <c r="C137" s="73" t="s">
        <v>117</v>
      </c>
      <c r="D137" s="73" t="s">
        <v>93</v>
      </c>
      <c r="E137" s="73" t="s">
        <v>88</v>
      </c>
      <c r="F137" s="73" t="s">
        <v>102</v>
      </c>
      <c r="G137" s="73"/>
      <c r="H137" s="73" t="s">
        <v>118</v>
      </c>
      <c r="I137" s="73">
        <v>246348.83</v>
      </c>
      <c r="J137" s="73"/>
      <c r="K137" s="73"/>
      <c r="L137" s="73"/>
      <c r="M137" s="73"/>
      <c r="N137" s="96"/>
      <c r="O137" s="96"/>
      <c r="P137" s="96"/>
      <c r="Q137" s="96"/>
      <c r="R137" s="96"/>
      <c r="S137" s="16">
        <v>246348.83</v>
      </c>
      <c r="T137" s="148"/>
      <c r="U137"/>
      <c r="V137"/>
      <c r="W137"/>
      <c r="X137"/>
      <c r="Y137"/>
      <c r="Z137"/>
      <c r="AA137"/>
      <c r="AB137"/>
      <c r="AC137"/>
      <c r="AD137"/>
      <c r="AE137"/>
      <c r="AF137"/>
      <c r="AG137"/>
      <c r="AH137"/>
      <c r="AI137"/>
      <c r="AJ137"/>
      <c r="AK137"/>
      <c r="AL137"/>
      <c r="AM137"/>
      <c r="AN137"/>
      <c r="AO137"/>
      <c r="AP137"/>
    </row>
    <row r="138" spans="1:42" hidden="1">
      <c r="A138" s="78" t="s">
        <v>115</v>
      </c>
      <c r="B138" s="78" t="s">
        <v>90</v>
      </c>
      <c r="C138" s="78" t="s">
        <v>120</v>
      </c>
      <c r="D138" s="78" t="s">
        <v>88</v>
      </c>
      <c r="E138" s="78" t="s">
        <v>93</v>
      </c>
      <c r="F138" s="78" t="s">
        <v>121</v>
      </c>
      <c r="G138" s="78" t="s">
        <v>122</v>
      </c>
      <c r="H138" s="78" t="s">
        <v>118</v>
      </c>
      <c r="I138" s="78">
        <v>-1101739</v>
      </c>
      <c r="J138" s="78"/>
      <c r="K138" s="78"/>
      <c r="L138" s="78"/>
      <c r="M138" s="78"/>
      <c r="N138" s="96"/>
      <c r="O138" s="96"/>
      <c r="P138" s="96"/>
      <c r="Q138" s="96"/>
      <c r="R138" s="96"/>
      <c r="S138" s="16">
        <v>-1101739</v>
      </c>
      <c r="T138" s="148"/>
      <c r="U138"/>
      <c r="V138"/>
      <c r="W138"/>
      <c r="X138"/>
      <c r="Y138"/>
      <c r="Z138"/>
      <c r="AA138"/>
      <c r="AB138"/>
      <c r="AC138"/>
      <c r="AD138"/>
      <c r="AE138"/>
      <c r="AF138"/>
      <c r="AG138"/>
      <c r="AH138"/>
      <c r="AI138"/>
      <c r="AJ138"/>
      <c r="AK138"/>
      <c r="AL138"/>
      <c r="AM138"/>
      <c r="AN138"/>
      <c r="AO138"/>
      <c r="AP138"/>
    </row>
    <row r="139" spans="1:42" hidden="1">
      <c r="A139" s="78" t="s">
        <v>115</v>
      </c>
      <c r="B139" s="78" t="s">
        <v>92</v>
      </c>
      <c r="C139" s="78" t="s">
        <v>114</v>
      </c>
      <c r="D139" s="78" t="s">
        <v>88</v>
      </c>
      <c r="E139" s="78" t="s">
        <v>101</v>
      </c>
      <c r="F139" s="78" t="s">
        <v>115</v>
      </c>
      <c r="G139" s="78"/>
      <c r="H139" s="78" t="s">
        <v>116</v>
      </c>
      <c r="I139" s="78">
        <v>-105000</v>
      </c>
      <c r="J139" s="78"/>
      <c r="K139" s="78">
        <v>-105000</v>
      </c>
      <c r="L139" s="78"/>
      <c r="M139" s="78"/>
      <c r="N139" s="96"/>
      <c r="O139" s="96"/>
      <c r="P139" s="96"/>
      <c r="Q139" s="96"/>
      <c r="R139" s="96"/>
      <c r="T139" s="148"/>
      <c r="U139"/>
      <c r="V139"/>
      <c r="W139"/>
      <c r="X139"/>
      <c r="Y139"/>
      <c r="Z139"/>
      <c r="AA139"/>
      <c r="AB139"/>
      <c r="AC139"/>
      <c r="AD139"/>
      <c r="AE139"/>
      <c r="AF139"/>
      <c r="AG139"/>
      <c r="AH139"/>
      <c r="AI139"/>
      <c r="AJ139"/>
      <c r="AK139"/>
      <c r="AL139"/>
      <c r="AM139"/>
      <c r="AN139"/>
      <c r="AO139"/>
      <c r="AP139"/>
    </row>
    <row r="140" spans="1:42" hidden="1">
      <c r="A140" s="16" t="s">
        <v>115</v>
      </c>
      <c r="B140" s="16" t="s">
        <v>127</v>
      </c>
      <c r="C140" s="16" t="s">
        <v>128</v>
      </c>
      <c r="D140" s="16" t="s">
        <v>88</v>
      </c>
      <c r="E140" s="16" t="s">
        <v>93</v>
      </c>
      <c r="F140" s="16" t="s">
        <v>115</v>
      </c>
      <c r="G140" s="16" t="s">
        <v>129</v>
      </c>
      <c r="H140" s="16" t="s">
        <v>130</v>
      </c>
      <c r="I140" s="16">
        <v>-497651</v>
      </c>
      <c r="K140" s="16">
        <v>-497651</v>
      </c>
      <c r="N140" s="96"/>
      <c r="O140" s="96"/>
      <c r="P140" s="96"/>
      <c r="Q140" s="96"/>
      <c r="R140" s="96"/>
      <c r="T140" s="149"/>
      <c r="X140"/>
      <c r="Y140"/>
      <c r="Z140"/>
      <c r="AA140"/>
      <c r="AB140"/>
      <c r="AC140"/>
      <c r="AD140"/>
      <c r="AE140"/>
      <c r="AF140"/>
      <c r="AG140"/>
      <c r="AH140"/>
      <c r="AI140"/>
      <c r="AJ140"/>
      <c r="AK140"/>
      <c r="AL140"/>
      <c r="AM140"/>
      <c r="AN140"/>
      <c r="AO140"/>
      <c r="AP140"/>
    </row>
    <row r="141" spans="1:42" hidden="1">
      <c r="A141" s="16" t="s">
        <v>121</v>
      </c>
      <c r="B141" s="16" t="s">
        <v>90</v>
      </c>
      <c r="C141" s="16" t="s">
        <v>141</v>
      </c>
      <c r="D141" s="16" t="s">
        <v>88</v>
      </c>
      <c r="E141" s="16" t="s">
        <v>93</v>
      </c>
      <c r="F141" s="16" t="s">
        <v>97</v>
      </c>
      <c r="G141" s="16" t="s">
        <v>142</v>
      </c>
      <c r="H141" s="16" t="s">
        <v>143</v>
      </c>
      <c r="I141" s="16">
        <v>-194712</v>
      </c>
      <c r="N141" s="96"/>
      <c r="O141" s="96"/>
      <c r="P141" s="96">
        <v>-194712</v>
      </c>
      <c r="Q141" s="96"/>
      <c r="R141" s="96"/>
      <c r="T141" s="149"/>
      <c r="X141"/>
      <c r="Y141"/>
      <c r="Z141"/>
      <c r="AA141"/>
      <c r="AB141"/>
      <c r="AC141"/>
      <c r="AD141"/>
      <c r="AE141"/>
      <c r="AF141"/>
      <c r="AG141"/>
      <c r="AH141"/>
      <c r="AI141"/>
      <c r="AJ141"/>
      <c r="AK141"/>
      <c r="AL141"/>
      <c r="AM141"/>
      <c r="AN141"/>
      <c r="AO141"/>
      <c r="AP141"/>
    </row>
    <row r="142" spans="1:42" hidden="1">
      <c r="A142" s="87" t="s">
        <v>121</v>
      </c>
      <c r="B142" s="87" t="s">
        <v>90</v>
      </c>
      <c r="C142" s="87" t="s">
        <v>150</v>
      </c>
      <c r="D142" s="87" t="s">
        <v>88</v>
      </c>
      <c r="E142" s="87" t="s">
        <v>93</v>
      </c>
      <c r="F142" s="87" t="s">
        <v>97</v>
      </c>
      <c r="G142" s="87" t="s">
        <v>151</v>
      </c>
      <c r="H142" s="87" t="s">
        <v>118</v>
      </c>
      <c r="I142" s="87">
        <v>-61559.01</v>
      </c>
      <c r="J142" s="87"/>
      <c r="K142" s="87"/>
      <c r="L142" s="87"/>
      <c r="M142" s="87"/>
      <c r="N142" s="96"/>
      <c r="O142" s="96"/>
      <c r="P142" s="96"/>
      <c r="Q142" s="96"/>
      <c r="R142" s="96"/>
      <c r="S142" s="16">
        <v>-61559.01</v>
      </c>
      <c r="T142" s="149"/>
      <c r="X142"/>
      <c r="Y142"/>
      <c r="Z142"/>
      <c r="AA142"/>
      <c r="AB142"/>
      <c r="AC142"/>
      <c r="AD142"/>
      <c r="AE142"/>
      <c r="AF142"/>
      <c r="AG142"/>
      <c r="AH142"/>
      <c r="AI142"/>
      <c r="AJ142"/>
      <c r="AK142"/>
      <c r="AL142"/>
      <c r="AM142"/>
      <c r="AN142"/>
      <c r="AO142"/>
      <c r="AP142"/>
    </row>
    <row r="143" spans="1:42" hidden="1">
      <c r="A143" s="16" t="s">
        <v>121</v>
      </c>
      <c r="B143" s="16" t="s">
        <v>91</v>
      </c>
      <c r="C143" s="16" t="s">
        <v>120</v>
      </c>
      <c r="D143" s="16" t="s">
        <v>93</v>
      </c>
      <c r="E143" s="16" t="s">
        <v>88</v>
      </c>
      <c r="F143" s="16" t="s">
        <v>121</v>
      </c>
      <c r="G143" s="16" t="s">
        <v>122</v>
      </c>
      <c r="H143" s="16" t="s">
        <v>118</v>
      </c>
      <c r="I143" s="16">
        <v>1101739</v>
      </c>
      <c r="S143" s="16">
        <v>1101739</v>
      </c>
      <c r="T143" s="148"/>
      <c r="U143" s="53"/>
      <c r="V143" s="53"/>
      <c r="W143" s="53"/>
      <c r="X143" s="53"/>
      <c r="Y143" s="53"/>
      <c r="Z143" s="53"/>
      <c r="AA143" s="53"/>
      <c r="AB143" s="53"/>
      <c r="AC143" s="53"/>
      <c r="AD143" s="53"/>
      <c r="AE143" s="53"/>
      <c r="AJ143"/>
      <c r="AK143"/>
      <c r="AL143"/>
      <c r="AM143"/>
      <c r="AN143"/>
      <c r="AO143"/>
      <c r="AP143"/>
    </row>
    <row r="144" spans="1:42" hidden="1">
      <c r="A144" s="16" t="s">
        <v>121</v>
      </c>
      <c r="B144" s="16" t="s">
        <v>144</v>
      </c>
      <c r="C144" s="16" t="s">
        <v>145</v>
      </c>
      <c r="D144" s="16" t="s">
        <v>93</v>
      </c>
      <c r="E144" s="16" t="s">
        <v>88</v>
      </c>
      <c r="F144" s="16" t="s">
        <v>121</v>
      </c>
      <c r="G144" s="16" t="s">
        <v>134</v>
      </c>
      <c r="H144" s="16" t="s">
        <v>146</v>
      </c>
      <c r="I144" s="16">
        <v>962542</v>
      </c>
      <c r="J144" s="16">
        <v>962542</v>
      </c>
      <c r="T144" s="149"/>
      <c r="AJ144"/>
      <c r="AK144"/>
      <c r="AL144"/>
      <c r="AM144"/>
      <c r="AN144"/>
      <c r="AO144"/>
      <c r="AP144"/>
    </row>
    <row r="145" spans="1:42" hidden="1">
      <c r="A145" s="16" t="s">
        <v>121</v>
      </c>
      <c r="B145" s="16" t="s">
        <v>144</v>
      </c>
      <c r="C145" s="16" t="s">
        <v>147</v>
      </c>
      <c r="D145" s="16" t="s">
        <v>93</v>
      </c>
      <c r="E145" s="16" t="s">
        <v>88</v>
      </c>
      <c r="F145" s="16" t="s">
        <v>121</v>
      </c>
      <c r="G145" s="16" t="s">
        <v>140</v>
      </c>
      <c r="H145" s="16" t="s">
        <v>146</v>
      </c>
      <c r="I145" s="16">
        <v>152002</v>
      </c>
      <c r="J145" s="16">
        <v>152002</v>
      </c>
      <c r="T145" s="149"/>
      <c r="AJ145"/>
      <c r="AK145"/>
      <c r="AL145"/>
      <c r="AM145"/>
      <c r="AN145"/>
      <c r="AO145"/>
      <c r="AP145"/>
    </row>
    <row r="146" spans="1:42" hidden="1">
      <c r="A146" s="16" t="s">
        <v>121</v>
      </c>
      <c r="B146" s="16" t="s">
        <v>127</v>
      </c>
      <c r="C146" s="16" t="s">
        <v>145</v>
      </c>
      <c r="D146" s="16" t="s">
        <v>88</v>
      </c>
      <c r="E146" s="16" t="s">
        <v>93</v>
      </c>
      <c r="F146" s="16" t="s">
        <v>121</v>
      </c>
      <c r="G146" s="16" t="s">
        <v>134</v>
      </c>
      <c r="H146" s="16" t="s">
        <v>148</v>
      </c>
      <c r="I146" s="16">
        <v>-1069491</v>
      </c>
      <c r="S146" s="16">
        <v>-1069491</v>
      </c>
      <c r="T146" s="149"/>
      <c r="AJ146"/>
      <c r="AK146"/>
      <c r="AL146"/>
      <c r="AM146"/>
      <c r="AN146"/>
      <c r="AO146"/>
      <c r="AP146"/>
    </row>
    <row r="147" spans="1:42" hidden="1">
      <c r="A147" s="16" t="s">
        <v>121</v>
      </c>
      <c r="B147" s="16" t="s">
        <v>127</v>
      </c>
      <c r="C147" s="16" t="s">
        <v>147</v>
      </c>
      <c r="D147" s="16" t="s">
        <v>88</v>
      </c>
      <c r="E147" s="16" t="s">
        <v>93</v>
      </c>
      <c r="F147" s="16" t="s">
        <v>121</v>
      </c>
      <c r="G147" s="16" t="s">
        <v>140</v>
      </c>
      <c r="H147" s="16" t="s">
        <v>149</v>
      </c>
      <c r="I147" s="16">
        <v>-168891</v>
      </c>
      <c r="P147" s="16">
        <v>-168891</v>
      </c>
      <c r="T147" s="149"/>
      <c r="AJ147"/>
      <c r="AK147"/>
      <c r="AL147"/>
      <c r="AM147"/>
      <c r="AN147"/>
      <c r="AO147"/>
      <c r="AP147"/>
    </row>
    <row r="148" spans="1:42" hidden="1">
      <c r="A148" s="16" t="s">
        <v>97</v>
      </c>
      <c r="B148" s="16" t="s">
        <v>90</v>
      </c>
      <c r="C148" s="16" t="s">
        <v>152</v>
      </c>
      <c r="D148" s="16" t="s">
        <v>88</v>
      </c>
      <c r="E148" s="16" t="s">
        <v>93</v>
      </c>
      <c r="F148" s="16" t="s">
        <v>153</v>
      </c>
      <c r="G148" s="16" t="s">
        <v>154</v>
      </c>
      <c r="H148" s="16" t="s">
        <v>143</v>
      </c>
      <c r="I148" s="16">
        <v>-4337.62</v>
      </c>
      <c r="P148" s="16">
        <v>-4337.62</v>
      </c>
      <c r="T148" s="149"/>
      <c r="AJ148"/>
      <c r="AK148"/>
      <c r="AL148"/>
      <c r="AM148"/>
      <c r="AN148"/>
      <c r="AO148"/>
      <c r="AP148"/>
    </row>
    <row r="149" spans="1:42" hidden="1">
      <c r="A149" s="101" t="s">
        <v>97</v>
      </c>
      <c r="B149" s="101" t="s">
        <v>91</v>
      </c>
      <c r="C149" s="101" t="s">
        <v>141</v>
      </c>
      <c r="D149" s="101" t="s">
        <v>93</v>
      </c>
      <c r="E149" s="101" t="s">
        <v>88</v>
      </c>
      <c r="F149" s="101" t="s">
        <v>97</v>
      </c>
      <c r="G149" s="101" t="s">
        <v>142</v>
      </c>
      <c r="H149" s="101" t="s">
        <v>143</v>
      </c>
      <c r="I149" s="101">
        <v>194712</v>
      </c>
      <c r="J149" s="101"/>
      <c r="K149" s="101"/>
      <c r="L149" s="101"/>
      <c r="M149" s="101"/>
      <c r="N149" s="101"/>
      <c r="O149" s="101"/>
      <c r="P149" s="101">
        <v>194712</v>
      </c>
      <c r="Q149" s="101"/>
      <c r="R149" s="101"/>
      <c r="S149" s="101"/>
      <c r="T149" s="149"/>
      <c r="AJ149"/>
      <c r="AK149"/>
      <c r="AL149"/>
      <c r="AM149"/>
      <c r="AN149"/>
      <c r="AO149"/>
      <c r="AP149"/>
    </row>
    <row r="150" spans="1:42" hidden="1">
      <c r="A150" s="101" t="s">
        <v>97</v>
      </c>
      <c r="B150" s="101" t="s">
        <v>91</v>
      </c>
      <c r="C150" s="101" t="s">
        <v>150</v>
      </c>
      <c r="D150" s="101" t="s">
        <v>93</v>
      </c>
      <c r="E150" s="101" t="s">
        <v>88</v>
      </c>
      <c r="F150" s="101" t="s">
        <v>97</v>
      </c>
      <c r="G150" s="101" t="s">
        <v>151</v>
      </c>
      <c r="H150" s="101" t="s">
        <v>118</v>
      </c>
      <c r="I150" s="101">
        <v>61559.01</v>
      </c>
      <c r="J150" s="101"/>
      <c r="K150" s="101"/>
      <c r="L150" s="101"/>
      <c r="M150" s="101"/>
      <c r="N150" s="101"/>
      <c r="O150" s="101">
        <v>61559.01</v>
      </c>
      <c r="P150" s="101"/>
      <c r="Q150" s="101"/>
      <c r="R150" s="101"/>
      <c r="S150" s="101"/>
      <c r="T150" s="149"/>
      <c r="AJ150"/>
      <c r="AK150"/>
      <c r="AL150"/>
      <c r="AM150"/>
      <c r="AN150"/>
      <c r="AO150"/>
      <c r="AP150"/>
    </row>
    <row r="151" spans="1:42" hidden="1">
      <c r="A151" s="102" t="s">
        <v>97</v>
      </c>
      <c r="B151" s="102" t="s">
        <v>92</v>
      </c>
      <c r="C151" s="102" t="s">
        <v>95</v>
      </c>
      <c r="D151" s="102" t="s">
        <v>88</v>
      </c>
      <c r="E151" s="102" t="s">
        <v>96</v>
      </c>
      <c r="F151" s="102" t="s">
        <v>97</v>
      </c>
      <c r="G151" s="102"/>
      <c r="H151" s="102" t="s">
        <v>99</v>
      </c>
      <c r="I151" s="102">
        <v>-185000</v>
      </c>
      <c r="J151" s="102"/>
      <c r="K151" s="102"/>
      <c r="L151" s="102"/>
      <c r="M151" s="102"/>
      <c r="N151" s="102"/>
      <c r="O151" s="102"/>
      <c r="P151" s="102">
        <v>-185000</v>
      </c>
      <c r="Q151" s="102"/>
      <c r="R151" s="102"/>
      <c r="S151" s="102"/>
      <c r="T151" s="149"/>
      <c r="AJ151"/>
      <c r="AK151"/>
      <c r="AL151"/>
      <c r="AM151"/>
      <c r="AN151"/>
      <c r="AO151"/>
      <c r="AP151"/>
    </row>
    <row r="152" spans="1:42" hidden="1">
      <c r="A152" s="102" t="s">
        <v>153</v>
      </c>
      <c r="B152" s="102" t="s">
        <v>90</v>
      </c>
      <c r="C152" s="102" t="s">
        <v>157</v>
      </c>
      <c r="D152" s="102" t="s">
        <v>88</v>
      </c>
      <c r="E152" s="102" t="s">
        <v>93</v>
      </c>
      <c r="F152" s="102" t="s">
        <v>158</v>
      </c>
      <c r="G152" s="102" t="s">
        <v>159</v>
      </c>
      <c r="H152" s="102" t="s">
        <v>143</v>
      </c>
      <c r="I152" s="102">
        <v>-186549.93</v>
      </c>
      <c r="J152" s="102"/>
      <c r="K152" s="102"/>
      <c r="L152" s="102"/>
      <c r="M152" s="102"/>
      <c r="N152" s="102"/>
      <c r="O152" s="102"/>
      <c r="P152" s="102"/>
      <c r="Q152" s="102"/>
      <c r="R152" s="102"/>
      <c r="S152" s="102">
        <v>-186549.93</v>
      </c>
      <c r="T152" s="149"/>
      <c r="AN152"/>
      <c r="AO152"/>
      <c r="AP152"/>
    </row>
    <row r="153" spans="1:42" hidden="1">
      <c r="A153" s="16" t="s">
        <v>153</v>
      </c>
      <c r="B153" s="16" t="s">
        <v>91</v>
      </c>
      <c r="C153" s="16" t="s">
        <v>152</v>
      </c>
      <c r="D153" s="16" t="s">
        <v>93</v>
      </c>
      <c r="E153" s="16" t="s">
        <v>88</v>
      </c>
      <c r="F153" s="16" t="s">
        <v>153</v>
      </c>
      <c r="G153" s="16" t="s">
        <v>154</v>
      </c>
      <c r="H153" s="16" t="s">
        <v>143</v>
      </c>
      <c r="I153" s="16">
        <v>4337.62</v>
      </c>
      <c r="P153" s="16">
        <v>4337.62</v>
      </c>
      <c r="T153" s="149"/>
      <c r="AN153"/>
      <c r="AO153"/>
      <c r="AP153"/>
    </row>
    <row r="154" spans="1:42" hidden="1">
      <c r="A154" s="16" t="s">
        <v>153</v>
      </c>
      <c r="B154" s="16" t="s">
        <v>144</v>
      </c>
      <c r="C154" s="16" t="s">
        <v>160</v>
      </c>
      <c r="D154" s="16" t="s">
        <v>93</v>
      </c>
      <c r="E154" s="16" t="s">
        <v>88</v>
      </c>
      <c r="F154" s="16" t="s">
        <v>153</v>
      </c>
      <c r="G154" s="16" t="s">
        <v>156</v>
      </c>
      <c r="H154" s="16" t="s">
        <v>146</v>
      </c>
      <c r="I154" s="16">
        <v>700000</v>
      </c>
      <c r="J154" s="16">
        <v>700000</v>
      </c>
      <c r="T154" s="149"/>
      <c r="AN154"/>
      <c r="AO154"/>
      <c r="AP154"/>
    </row>
    <row r="155" spans="1:42" hidden="1">
      <c r="A155" s="16" t="s">
        <v>153</v>
      </c>
      <c r="B155" s="16" t="s">
        <v>127</v>
      </c>
      <c r="C155" s="16" t="s">
        <v>160</v>
      </c>
      <c r="D155" s="16" t="s">
        <v>88</v>
      </c>
      <c r="E155" s="16" t="s">
        <v>93</v>
      </c>
      <c r="F155" s="16" t="s">
        <v>153</v>
      </c>
      <c r="G155" s="16" t="s">
        <v>156</v>
      </c>
      <c r="H155" s="16" t="s">
        <v>146</v>
      </c>
      <c r="I155" s="16">
        <v>-777778</v>
      </c>
      <c r="P155" s="16">
        <v>-777778</v>
      </c>
      <c r="T155" s="149"/>
      <c r="AN155"/>
      <c r="AO155"/>
      <c r="AP155"/>
    </row>
    <row r="156" spans="1:42" hidden="1">
      <c r="A156" s="16" t="s">
        <v>158</v>
      </c>
      <c r="B156" s="16" t="s">
        <v>90</v>
      </c>
      <c r="C156" s="16" t="s">
        <v>161</v>
      </c>
      <c r="D156" s="16" t="s">
        <v>88</v>
      </c>
      <c r="E156" s="16" t="s">
        <v>93</v>
      </c>
      <c r="F156" s="16" t="s">
        <v>162</v>
      </c>
      <c r="G156" s="16" t="s">
        <v>159</v>
      </c>
      <c r="H156" s="16" t="s">
        <v>143</v>
      </c>
      <c r="I156" s="16">
        <v>-1245541.73</v>
      </c>
      <c r="O156" s="16">
        <v>-129983</v>
      </c>
      <c r="P156" s="16">
        <v>-950246</v>
      </c>
      <c r="S156" s="16">
        <v>-165312.73000000001</v>
      </c>
      <c r="T156" s="149"/>
      <c r="AN156"/>
      <c r="AO156"/>
      <c r="AP156"/>
    </row>
    <row r="157" spans="1:42" hidden="1">
      <c r="A157" s="16" t="s">
        <v>158</v>
      </c>
      <c r="B157" s="16" t="s">
        <v>91</v>
      </c>
      <c r="C157" s="16" t="s">
        <v>157</v>
      </c>
      <c r="D157" s="16" t="s">
        <v>93</v>
      </c>
      <c r="E157" s="16" t="s">
        <v>88</v>
      </c>
      <c r="F157" s="16" t="s">
        <v>158</v>
      </c>
      <c r="G157" s="16" t="s">
        <v>159</v>
      </c>
      <c r="H157" s="16" t="s">
        <v>143</v>
      </c>
      <c r="I157" s="16">
        <v>186549.93</v>
      </c>
      <c r="S157" s="16">
        <v>186549.93</v>
      </c>
      <c r="T157" s="149"/>
      <c r="AN157"/>
      <c r="AO157"/>
      <c r="AP157"/>
    </row>
    <row r="158" spans="1:42" hidden="1">
      <c r="A158" s="16" t="s">
        <v>162</v>
      </c>
      <c r="B158" s="16" t="s">
        <v>90</v>
      </c>
      <c r="C158" s="16" t="s">
        <v>183</v>
      </c>
      <c r="D158" s="16" t="s">
        <v>88</v>
      </c>
      <c r="E158" s="16" t="s">
        <v>93</v>
      </c>
      <c r="F158" s="16" t="s">
        <v>184</v>
      </c>
      <c r="G158" s="16" t="s">
        <v>200</v>
      </c>
      <c r="H158" s="16" t="s">
        <v>198</v>
      </c>
      <c r="I158" s="16">
        <v>-292098.40000000002</v>
      </c>
      <c r="T158" s="149">
        <v>-292098.40000000002</v>
      </c>
      <c r="AN158"/>
      <c r="AO158"/>
      <c r="AP158"/>
    </row>
    <row r="159" spans="1:42" hidden="1">
      <c r="A159" s="137" t="s">
        <v>162</v>
      </c>
      <c r="B159" s="137" t="s">
        <v>90</v>
      </c>
      <c r="C159" s="137" t="s">
        <v>183</v>
      </c>
      <c r="D159" s="137" t="s">
        <v>88</v>
      </c>
      <c r="E159" s="137" t="s">
        <v>93</v>
      </c>
      <c r="F159" s="137" t="s">
        <v>184</v>
      </c>
      <c r="G159" s="137" t="s">
        <v>199</v>
      </c>
      <c r="H159" s="137" t="s">
        <v>143</v>
      </c>
      <c r="I159" s="137">
        <v>-8178.36</v>
      </c>
      <c r="J159" s="137"/>
      <c r="K159" s="137"/>
      <c r="L159" s="137"/>
      <c r="M159" s="137"/>
      <c r="N159" s="137"/>
      <c r="O159" s="137">
        <v>-8178.36</v>
      </c>
      <c r="P159" s="137"/>
      <c r="Q159" s="137"/>
      <c r="R159" s="137"/>
      <c r="S159" s="137"/>
      <c r="T159" s="149"/>
      <c r="AN159"/>
      <c r="AO159"/>
      <c r="AP159"/>
    </row>
    <row r="160" spans="1:42" hidden="1">
      <c r="A160" s="137" t="s">
        <v>162</v>
      </c>
      <c r="B160" s="137" t="s">
        <v>91</v>
      </c>
      <c r="C160" s="137" t="s">
        <v>161</v>
      </c>
      <c r="D160" s="137" t="s">
        <v>93</v>
      </c>
      <c r="E160" s="137" t="s">
        <v>88</v>
      </c>
      <c r="F160" s="137" t="s">
        <v>162</v>
      </c>
      <c r="G160" s="137" t="s">
        <v>159</v>
      </c>
      <c r="H160" s="137" t="s">
        <v>143</v>
      </c>
      <c r="I160" s="137">
        <v>1245541.73</v>
      </c>
      <c r="J160" s="137"/>
      <c r="K160" s="137"/>
      <c r="L160" s="137"/>
      <c r="M160" s="137"/>
      <c r="N160" s="137"/>
      <c r="O160" s="137"/>
      <c r="P160" s="137"/>
      <c r="Q160" s="137"/>
      <c r="R160" s="137"/>
      <c r="S160" s="137">
        <v>1245541.73</v>
      </c>
      <c r="T160" s="149"/>
      <c r="AN160"/>
      <c r="AO160"/>
      <c r="AP160"/>
    </row>
    <row r="161" spans="1:42" hidden="1">
      <c r="A161" s="16" t="s">
        <v>162</v>
      </c>
      <c r="B161" s="16" t="s">
        <v>144</v>
      </c>
      <c r="C161" s="16" t="s">
        <v>177</v>
      </c>
      <c r="D161" s="16" t="s">
        <v>93</v>
      </c>
      <c r="E161" s="16" t="s">
        <v>88</v>
      </c>
      <c r="F161" s="16" t="s">
        <v>162</v>
      </c>
      <c r="G161" s="16" t="s">
        <v>163</v>
      </c>
      <c r="H161" s="16" t="s">
        <v>146</v>
      </c>
      <c r="I161" s="16">
        <v>810000</v>
      </c>
      <c r="J161" s="16">
        <v>810000</v>
      </c>
      <c r="T161" s="149"/>
      <c r="AN161"/>
      <c r="AO161"/>
      <c r="AP161"/>
    </row>
    <row r="162" spans="1:42" hidden="1">
      <c r="A162" s="16" t="s">
        <v>162</v>
      </c>
      <c r="B162" s="16" t="s">
        <v>144</v>
      </c>
      <c r="C162" s="16" t="s">
        <v>201</v>
      </c>
      <c r="D162" s="16" t="s">
        <v>93</v>
      </c>
      <c r="E162" s="16" t="s">
        <v>88</v>
      </c>
      <c r="F162" s="16" t="s">
        <v>162</v>
      </c>
      <c r="G162" s="16" t="s">
        <v>182</v>
      </c>
      <c r="H162" s="16" t="s">
        <v>204</v>
      </c>
      <c r="I162" s="16">
        <v>1211183</v>
      </c>
      <c r="J162" s="16">
        <v>1211183</v>
      </c>
      <c r="T162" s="149"/>
      <c r="AN162"/>
      <c r="AO162"/>
      <c r="AP162"/>
    </row>
    <row r="163" spans="1:42" hidden="1">
      <c r="A163" s="16" t="s">
        <v>162</v>
      </c>
      <c r="B163" s="16" t="s">
        <v>127</v>
      </c>
      <c r="C163" s="16" t="s">
        <v>177</v>
      </c>
      <c r="D163" s="16" t="s">
        <v>88</v>
      </c>
      <c r="E163" s="16" t="s">
        <v>93</v>
      </c>
      <c r="F163" s="16" t="s">
        <v>162</v>
      </c>
      <c r="G163" s="16" t="s">
        <v>163</v>
      </c>
      <c r="H163" s="16" t="s">
        <v>178</v>
      </c>
      <c r="I163" s="16">
        <v>-900000</v>
      </c>
      <c r="P163" s="16">
        <v>-900000</v>
      </c>
      <c r="T163" s="149"/>
      <c r="AN163"/>
      <c r="AO163"/>
      <c r="AP163"/>
    </row>
    <row r="164" spans="1:42" hidden="1">
      <c r="A164" s="16" t="s">
        <v>162</v>
      </c>
      <c r="B164" s="16" t="s">
        <v>127</v>
      </c>
      <c r="C164" s="16" t="s">
        <v>201</v>
      </c>
      <c r="D164" s="16" t="s">
        <v>88</v>
      </c>
      <c r="E164" s="16" t="s">
        <v>93</v>
      </c>
      <c r="F164" s="16" t="s">
        <v>162</v>
      </c>
      <c r="G164" s="16" t="s">
        <v>182</v>
      </c>
      <c r="H164" s="16" t="s">
        <v>202</v>
      </c>
      <c r="I164" s="16">
        <v>-1345759</v>
      </c>
      <c r="Q164" s="16">
        <v>-1345759</v>
      </c>
      <c r="T164" s="149"/>
      <c r="AN164"/>
      <c r="AO164"/>
      <c r="AP164"/>
    </row>
    <row r="165" spans="1:42">
      <c r="A165" s="168" t="s">
        <v>184</v>
      </c>
      <c r="B165" s="168" t="s">
        <v>90</v>
      </c>
      <c r="C165" s="168" t="s">
        <v>206</v>
      </c>
      <c r="D165" s="168" t="s">
        <v>88</v>
      </c>
      <c r="E165" s="168" t="s">
        <v>93</v>
      </c>
      <c r="F165" s="168" t="s">
        <v>207</v>
      </c>
      <c r="G165" s="168" t="s">
        <v>208</v>
      </c>
      <c r="H165" s="168" t="s">
        <v>209</v>
      </c>
      <c r="I165" s="168">
        <v>-1100224.29</v>
      </c>
      <c r="J165" s="168"/>
      <c r="K165" s="168"/>
      <c r="L165" s="168"/>
      <c r="M165" s="168"/>
      <c r="N165" s="168"/>
      <c r="O165" s="168">
        <v>-133161.29</v>
      </c>
      <c r="P165" s="168"/>
      <c r="Q165" s="168">
        <v>-221497</v>
      </c>
      <c r="R165" s="168">
        <v>-745566</v>
      </c>
      <c r="S165" s="168"/>
      <c r="T165" s="168"/>
    </row>
    <row r="166" spans="1:42">
      <c r="A166" s="168" t="s">
        <v>184</v>
      </c>
      <c r="B166" s="168" t="s">
        <v>90</v>
      </c>
      <c r="C166" s="168" t="s">
        <v>206</v>
      </c>
      <c r="D166" s="168" t="s">
        <v>88</v>
      </c>
      <c r="E166" s="168" t="s">
        <v>93</v>
      </c>
      <c r="F166" s="168" t="s">
        <v>207</v>
      </c>
      <c r="G166" s="168" t="s">
        <v>210</v>
      </c>
      <c r="H166" s="168" t="s">
        <v>209</v>
      </c>
      <c r="I166" s="168">
        <v>-497456</v>
      </c>
      <c r="J166" s="168"/>
      <c r="K166" s="168"/>
      <c r="L166" s="168"/>
      <c r="M166" s="168"/>
      <c r="N166" s="168"/>
      <c r="O166" s="168"/>
      <c r="P166" s="168"/>
      <c r="Q166" s="168"/>
      <c r="R166" s="168"/>
      <c r="S166" s="168"/>
      <c r="T166" s="168">
        <v>-497456</v>
      </c>
    </row>
    <row r="167" spans="1:42">
      <c r="A167" s="176" t="s">
        <v>184</v>
      </c>
      <c r="B167" s="176" t="s">
        <v>91</v>
      </c>
      <c r="C167" s="176" t="s">
        <v>183</v>
      </c>
      <c r="D167" s="176" t="s">
        <v>93</v>
      </c>
      <c r="E167" s="176" t="s">
        <v>88</v>
      </c>
      <c r="F167" s="176" t="s">
        <v>184</v>
      </c>
      <c r="G167" s="176" t="s">
        <v>200</v>
      </c>
      <c r="H167" s="176" t="s">
        <v>198</v>
      </c>
      <c r="I167" s="176">
        <v>292098.40000000002</v>
      </c>
      <c r="J167" s="176"/>
      <c r="K167" s="176"/>
      <c r="L167" s="176"/>
      <c r="M167" s="176"/>
      <c r="N167" s="176"/>
      <c r="O167" s="176"/>
      <c r="P167" s="176"/>
      <c r="Q167" s="176"/>
      <c r="R167" s="176"/>
      <c r="S167" s="176"/>
      <c r="T167" s="176">
        <v>292098.40000000002</v>
      </c>
    </row>
    <row r="168" spans="1:42">
      <c r="A168" s="176" t="s">
        <v>184</v>
      </c>
      <c r="B168" s="176" t="s">
        <v>91</v>
      </c>
      <c r="C168" s="176" t="s">
        <v>183</v>
      </c>
      <c r="D168" s="176" t="s">
        <v>93</v>
      </c>
      <c r="E168" s="176" t="s">
        <v>88</v>
      </c>
      <c r="F168" s="176" t="s">
        <v>184</v>
      </c>
      <c r="G168" s="176" t="s">
        <v>199</v>
      </c>
      <c r="H168" s="176" t="s">
        <v>143</v>
      </c>
      <c r="I168" s="176">
        <v>8178.36</v>
      </c>
      <c r="J168" s="176"/>
      <c r="K168" s="176"/>
      <c r="L168" s="176"/>
      <c r="M168" s="176"/>
      <c r="N168" s="176"/>
      <c r="O168" s="176">
        <v>8178.36</v>
      </c>
      <c r="P168" s="176"/>
      <c r="Q168" s="176"/>
      <c r="R168" s="176"/>
      <c r="S168" s="176"/>
      <c r="T168" s="176"/>
    </row>
    <row r="169" spans="1:42">
      <c r="A169" s="176" t="s">
        <v>207</v>
      </c>
      <c r="B169" s="176" t="s">
        <v>90</v>
      </c>
      <c r="C169" s="176" t="s">
        <v>223</v>
      </c>
      <c r="D169" s="176" t="s">
        <v>88</v>
      </c>
      <c r="E169" s="176" t="s">
        <v>93</v>
      </c>
      <c r="F169" s="176" t="s">
        <v>214</v>
      </c>
      <c r="G169" s="176" t="s">
        <v>224</v>
      </c>
      <c r="H169" s="176" t="s">
        <v>225</v>
      </c>
      <c r="I169" s="176">
        <v>-484892.85</v>
      </c>
      <c r="J169" s="176"/>
      <c r="K169" s="176"/>
      <c r="L169" s="176"/>
      <c r="M169" s="176"/>
      <c r="N169" s="176"/>
      <c r="O169" s="176"/>
      <c r="P169" s="176"/>
      <c r="Q169" s="176"/>
      <c r="R169" s="176"/>
      <c r="S169" s="176"/>
      <c r="T169" s="176">
        <v>-484892.85</v>
      </c>
    </row>
    <row r="170" spans="1:42">
      <c r="A170" s="176" t="s">
        <v>207</v>
      </c>
      <c r="B170" s="176" t="s">
        <v>90</v>
      </c>
      <c r="C170" s="176" t="s">
        <v>220</v>
      </c>
      <c r="D170" s="176" t="s">
        <v>88</v>
      </c>
      <c r="E170" s="176" t="s">
        <v>101</v>
      </c>
      <c r="F170" s="176" t="s">
        <v>214</v>
      </c>
      <c r="G170" s="176" t="s">
        <v>221</v>
      </c>
      <c r="H170" s="176" t="s">
        <v>222</v>
      </c>
      <c r="I170" s="176">
        <v>-40000</v>
      </c>
      <c r="J170" s="176"/>
      <c r="K170" s="176"/>
      <c r="L170" s="176"/>
      <c r="M170" s="176"/>
      <c r="N170" s="176"/>
      <c r="O170" s="176">
        <v>-40000</v>
      </c>
      <c r="P170" s="176"/>
      <c r="Q170" s="176"/>
      <c r="R170" s="176"/>
      <c r="S170" s="176"/>
      <c r="T170" s="176"/>
    </row>
    <row r="171" spans="1:42">
      <c r="A171" s="181" t="s">
        <v>207</v>
      </c>
      <c r="B171" s="181" t="s">
        <v>91</v>
      </c>
      <c r="C171" s="181" t="s">
        <v>206</v>
      </c>
      <c r="D171" s="181" t="s">
        <v>93</v>
      </c>
      <c r="E171" s="181" t="s">
        <v>88</v>
      </c>
      <c r="F171" s="181" t="s">
        <v>207</v>
      </c>
      <c r="G171" s="181" t="s">
        <v>208</v>
      </c>
      <c r="H171" s="181" t="s">
        <v>209</v>
      </c>
      <c r="I171" s="181">
        <v>1100224.29</v>
      </c>
      <c r="J171" s="181"/>
      <c r="K171" s="181"/>
      <c r="L171" s="181"/>
      <c r="M171" s="181"/>
      <c r="N171" s="181"/>
      <c r="O171" s="181">
        <v>133161.29</v>
      </c>
      <c r="P171" s="181"/>
      <c r="Q171" s="181">
        <v>221497</v>
      </c>
      <c r="R171" s="181">
        <v>745566</v>
      </c>
      <c r="S171" s="181"/>
      <c r="T171" s="181"/>
    </row>
    <row r="172" spans="1:42">
      <c r="A172" s="181" t="s">
        <v>207</v>
      </c>
      <c r="B172" s="181" t="s">
        <v>91</v>
      </c>
      <c r="C172" s="181" t="s">
        <v>206</v>
      </c>
      <c r="D172" s="181" t="s">
        <v>93</v>
      </c>
      <c r="E172" s="181" t="s">
        <v>88</v>
      </c>
      <c r="F172" s="181" t="s">
        <v>207</v>
      </c>
      <c r="G172" s="181" t="s">
        <v>210</v>
      </c>
      <c r="H172" s="181" t="s">
        <v>209</v>
      </c>
      <c r="I172" s="181">
        <v>497456</v>
      </c>
      <c r="J172" s="181"/>
      <c r="K172" s="181"/>
      <c r="L172" s="181"/>
      <c r="M172" s="181"/>
      <c r="N172" s="181"/>
      <c r="O172" s="181"/>
      <c r="P172" s="181"/>
      <c r="Q172" s="181"/>
      <c r="R172" s="181"/>
      <c r="S172" s="181"/>
      <c r="T172" s="181">
        <v>497456</v>
      </c>
    </row>
    <row r="173" spans="1:42">
      <c r="A173" s="182" t="s">
        <v>207</v>
      </c>
      <c r="B173" s="182" t="s">
        <v>144</v>
      </c>
      <c r="C173" s="182" t="s">
        <v>232</v>
      </c>
      <c r="D173" s="182" t="s">
        <v>93</v>
      </c>
      <c r="E173" s="182" t="s">
        <v>88</v>
      </c>
      <c r="F173" s="182" t="s">
        <v>207</v>
      </c>
      <c r="G173" s="182" t="s">
        <v>233</v>
      </c>
      <c r="H173" s="182" t="s">
        <v>146</v>
      </c>
      <c r="I173" s="182">
        <v>1015863</v>
      </c>
      <c r="J173" s="182">
        <v>1015863</v>
      </c>
      <c r="K173" s="182"/>
      <c r="L173" s="182"/>
      <c r="M173" s="182"/>
      <c r="N173" s="182"/>
      <c r="O173" s="182"/>
      <c r="P173" s="182"/>
      <c r="Q173" s="182"/>
      <c r="R173" s="182"/>
      <c r="S173" s="182"/>
      <c r="T173" s="182"/>
    </row>
    <row r="174" spans="1:42">
      <c r="A174" s="182" t="s">
        <v>207</v>
      </c>
      <c r="B174" s="182" t="s">
        <v>144</v>
      </c>
      <c r="C174" s="182" t="s">
        <v>234</v>
      </c>
      <c r="D174" s="182" t="s">
        <v>93</v>
      </c>
      <c r="E174" s="182" t="s">
        <v>88</v>
      </c>
      <c r="F174" s="182" t="s">
        <v>207</v>
      </c>
      <c r="G174" s="182" t="s">
        <v>235</v>
      </c>
      <c r="H174" s="182" t="s">
        <v>146</v>
      </c>
      <c r="I174" s="182">
        <v>900000</v>
      </c>
      <c r="J174" s="182">
        <v>900000</v>
      </c>
      <c r="K174" s="182"/>
      <c r="L174" s="182"/>
      <c r="M174" s="182"/>
      <c r="N174" s="182"/>
      <c r="O174" s="182"/>
      <c r="P174" s="182"/>
      <c r="Q174" s="182"/>
      <c r="R174" s="182"/>
      <c r="S174" s="182"/>
      <c r="T174" s="182"/>
    </row>
    <row r="175" spans="1:42">
      <c r="A175" s="16" t="s">
        <v>207</v>
      </c>
      <c r="B175" s="16" t="s">
        <v>127</v>
      </c>
      <c r="C175" s="16" t="s">
        <v>232</v>
      </c>
      <c r="D175" s="16" t="s">
        <v>88</v>
      </c>
      <c r="E175" s="16" t="s">
        <v>93</v>
      </c>
      <c r="F175" s="16" t="s">
        <v>207</v>
      </c>
      <c r="G175" s="16" t="s">
        <v>233</v>
      </c>
      <c r="H175" s="16" t="s">
        <v>236</v>
      </c>
      <c r="I175" s="16">
        <v>-1128736.67</v>
      </c>
      <c r="R175" s="16">
        <v>-1128736.67</v>
      </c>
    </row>
    <row r="176" spans="1:42">
      <c r="A176" s="16" t="s">
        <v>207</v>
      </c>
      <c r="B176" s="16" t="s">
        <v>127</v>
      </c>
      <c r="C176" s="16" t="s">
        <v>234</v>
      </c>
      <c r="D176" s="16" t="s">
        <v>88</v>
      </c>
      <c r="E176" s="16" t="s">
        <v>93</v>
      </c>
      <c r="F176" s="16" t="s">
        <v>207</v>
      </c>
      <c r="G176" s="16" t="s">
        <v>235</v>
      </c>
      <c r="H176" s="16" t="s">
        <v>237</v>
      </c>
      <c r="I176" s="16">
        <v>-1000000</v>
      </c>
      <c r="O176" s="16">
        <v>-223144</v>
      </c>
      <c r="Q176" s="16">
        <v>-442994</v>
      </c>
      <c r="R176" s="16">
        <v>-333862</v>
      </c>
    </row>
    <row r="177" spans="1:20">
      <c r="A177" s="182" t="s">
        <v>214</v>
      </c>
      <c r="B177" s="182" t="s">
        <v>89</v>
      </c>
      <c r="C177" s="182" t="s">
        <v>215</v>
      </c>
      <c r="D177" s="182" t="s">
        <v>216</v>
      </c>
      <c r="E177" s="182" t="s">
        <v>88</v>
      </c>
      <c r="F177" s="182" t="s">
        <v>217</v>
      </c>
      <c r="G177" s="182" t="s">
        <v>218</v>
      </c>
      <c r="H177" s="182" t="s">
        <v>219</v>
      </c>
      <c r="I177" s="182">
        <v>104359</v>
      </c>
      <c r="J177" s="182"/>
      <c r="K177" s="182"/>
      <c r="L177" s="182"/>
      <c r="M177" s="182"/>
      <c r="N177" s="182"/>
      <c r="O177" s="182"/>
      <c r="P177" s="182"/>
      <c r="Q177" s="182"/>
      <c r="R177" s="182">
        <v>104359</v>
      </c>
      <c r="S177" s="182"/>
      <c r="T177" s="182"/>
    </row>
    <row r="178" spans="1:20">
      <c r="A178" s="182" t="s">
        <v>214</v>
      </c>
      <c r="B178" s="182" t="s">
        <v>90</v>
      </c>
      <c r="C178" s="182" t="s">
        <v>260</v>
      </c>
      <c r="D178" s="182" t="s">
        <v>88</v>
      </c>
      <c r="E178" s="182" t="s">
        <v>93</v>
      </c>
      <c r="F178" s="182" t="s">
        <v>217</v>
      </c>
      <c r="G178" s="182" t="s">
        <v>261</v>
      </c>
      <c r="H178" s="182" t="s">
        <v>225</v>
      </c>
      <c r="I178" s="182">
        <v>-777276.79</v>
      </c>
      <c r="J178" s="182"/>
      <c r="K178" s="182"/>
      <c r="L178" s="182"/>
      <c r="M178" s="182"/>
      <c r="N178" s="182"/>
      <c r="O178" s="182"/>
      <c r="P178" s="182"/>
      <c r="Q178" s="182"/>
      <c r="R178" s="182"/>
      <c r="S178" s="182"/>
      <c r="T178" s="182">
        <v>-777276.79</v>
      </c>
    </row>
    <row r="179" spans="1:20">
      <c r="A179" s="182" t="s">
        <v>214</v>
      </c>
      <c r="B179" s="182" t="s">
        <v>90</v>
      </c>
      <c r="C179" s="182" t="s">
        <v>262</v>
      </c>
      <c r="D179" s="182" t="s">
        <v>88</v>
      </c>
      <c r="E179" s="182" t="s">
        <v>93</v>
      </c>
      <c r="F179" s="182" t="s">
        <v>217</v>
      </c>
      <c r="G179" s="182" t="s">
        <v>263</v>
      </c>
      <c r="H179" s="182" t="s">
        <v>264</v>
      </c>
      <c r="I179" s="182">
        <v>-10929</v>
      </c>
      <c r="J179" s="182"/>
      <c r="K179" s="182"/>
      <c r="L179" s="182"/>
      <c r="M179" s="182"/>
      <c r="N179" s="182"/>
      <c r="O179" s="182"/>
      <c r="P179" s="182"/>
      <c r="Q179" s="182">
        <v>-10929</v>
      </c>
      <c r="R179" s="182"/>
      <c r="S179" s="182"/>
      <c r="T179" s="182"/>
    </row>
    <row r="180" spans="1:20">
      <c r="A180" s="182" t="s">
        <v>214</v>
      </c>
      <c r="B180" s="182" t="s">
        <v>91</v>
      </c>
      <c r="C180" s="182" t="s">
        <v>223</v>
      </c>
      <c r="D180" s="182" t="s">
        <v>93</v>
      </c>
      <c r="E180" s="182" t="s">
        <v>88</v>
      </c>
      <c r="F180" s="182" t="s">
        <v>214</v>
      </c>
      <c r="G180" s="182" t="s">
        <v>224</v>
      </c>
      <c r="H180" s="182" t="s">
        <v>225</v>
      </c>
      <c r="I180" s="182">
        <v>484892.85</v>
      </c>
      <c r="J180" s="182"/>
      <c r="K180" s="182"/>
      <c r="L180" s="182"/>
      <c r="M180" s="182"/>
      <c r="N180" s="182"/>
      <c r="O180" s="182"/>
      <c r="P180" s="182"/>
      <c r="Q180" s="182"/>
      <c r="R180" s="182"/>
      <c r="S180" s="182"/>
      <c r="T180" s="182">
        <v>484892.85</v>
      </c>
    </row>
    <row r="181" spans="1:20">
      <c r="A181" s="200" t="s">
        <v>214</v>
      </c>
      <c r="B181" s="200" t="s">
        <v>91</v>
      </c>
      <c r="C181" s="200" t="s">
        <v>220</v>
      </c>
      <c r="D181" s="200" t="s">
        <v>101</v>
      </c>
      <c r="E181" s="200" t="s">
        <v>88</v>
      </c>
      <c r="F181" s="200" t="s">
        <v>214</v>
      </c>
      <c r="G181" s="200" t="s">
        <v>221</v>
      </c>
      <c r="H181" s="200" t="s">
        <v>222</v>
      </c>
      <c r="I181" s="200">
        <v>40000</v>
      </c>
      <c r="J181" s="200"/>
      <c r="K181" s="200"/>
      <c r="L181" s="200"/>
      <c r="M181" s="200"/>
      <c r="N181" s="200"/>
      <c r="O181" s="200">
        <v>40000</v>
      </c>
      <c r="P181" s="200"/>
      <c r="Q181" s="200"/>
      <c r="R181" s="200"/>
      <c r="S181" s="200"/>
      <c r="T181" s="200"/>
    </row>
    <row r="182" spans="1:20">
      <c r="A182" s="200" t="s">
        <v>214</v>
      </c>
      <c r="B182" s="200" t="s">
        <v>144</v>
      </c>
      <c r="C182" s="200" t="s">
        <v>265</v>
      </c>
      <c r="D182" s="200" t="s">
        <v>93</v>
      </c>
      <c r="E182" s="200" t="s">
        <v>88</v>
      </c>
      <c r="F182" s="200" t="s">
        <v>214</v>
      </c>
      <c r="G182" s="200" t="s">
        <v>266</v>
      </c>
      <c r="H182" s="200" t="s">
        <v>267</v>
      </c>
      <c r="I182" s="200">
        <v>900000</v>
      </c>
      <c r="J182" s="200">
        <v>900000</v>
      </c>
      <c r="K182" s="200"/>
      <c r="L182" s="200"/>
      <c r="M182" s="200"/>
      <c r="N182" s="200"/>
      <c r="O182" s="200"/>
      <c r="P182" s="200"/>
      <c r="Q182" s="200"/>
      <c r="R182" s="200"/>
      <c r="S182" s="200"/>
      <c r="T182" s="200"/>
    </row>
    <row r="183" spans="1:20">
      <c r="A183" s="200" t="s">
        <v>214</v>
      </c>
      <c r="B183" s="200" t="s">
        <v>127</v>
      </c>
      <c r="C183" s="200" t="s">
        <v>265</v>
      </c>
      <c r="D183" s="200" t="s">
        <v>88</v>
      </c>
      <c r="E183" s="200" t="s">
        <v>93</v>
      </c>
      <c r="F183" s="200" t="s">
        <v>214</v>
      </c>
      <c r="G183" s="200" t="s">
        <v>266</v>
      </c>
      <c r="H183" s="200" t="s">
        <v>268</v>
      </c>
      <c r="I183" s="200">
        <v>-315327.45</v>
      </c>
      <c r="J183" s="200"/>
      <c r="K183" s="200"/>
      <c r="L183" s="200"/>
      <c r="M183" s="200"/>
      <c r="N183" s="200"/>
      <c r="O183" s="200">
        <v>-315327.45</v>
      </c>
      <c r="P183" s="200"/>
      <c r="Q183" s="200"/>
      <c r="R183" s="200"/>
      <c r="S183" s="200"/>
      <c r="T183" s="200"/>
    </row>
    <row r="184" spans="1:20">
      <c r="A184" s="200" t="s">
        <v>214</v>
      </c>
      <c r="B184" s="200" t="s">
        <v>127</v>
      </c>
      <c r="C184" s="200" t="s">
        <v>265</v>
      </c>
      <c r="D184" s="200" t="s">
        <v>88</v>
      </c>
      <c r="E184" s="200" t="s">
        <v>93</v>
      </c>
      <c r="F184" s="200" t="s">
        <v>214</v>
      </c>
      <c r="G184" s="200" t="s">
        <v>266</v>
      </c>
      <c r="H184" s="200" t="s">
        <v>236</v>
      </c>
      <c r="I184" s="200">
        <v>-411521.55</v>
      </c>
      <c r="J184" s="200"/>
      <c r="K184" s="200"/>
      <c r="L184" s="200"/>
      <c r="M184" s="200"/>
      <c r="N184" s="200"/>
      <c r="O184" s="200"/>
      <c r="P184" s="200"/>
      <c r="Q184" s="200"/>
      <c r="R184" s="200">
        <v>-411521.55</v>
      </c>
      <c r="S184" s="200"/>
      <c r="T184" s="200"/>
    </row>
    <row r="185" spans="1:20">
      <c r="A185" s="200" t="s">
        <v>214</v>
      </c>
      <c r="B185" s="200" t="s">
        <v>127</v>
      </c>
      <c r="C185" s="200" t="s">
        <v>265</v>
      </c>
      <c r="D185" s="200" t="s">
        <v>88</v>
      </c>
      <c r="E185" s="200" t="s">
        <v>93</v>
      </c>
      <c r="F185" s="200" t="s">
        <v>214</v>
      </c>
      <c r="G185" s="200" t="s">
        <v>266</v>
      </c>
      <c r="H185" s="200" t="s">
        <v>269</v>
      </c>
      <c r="I185" s="200">
        <v>-273151</v>
      </c>
      <c r="J185" s="200"/>
      <c r="K185" s="200"/>
      <c r="L185" s="200"/>
      <c r="M185" s="200"/>
      <c r="N185" s="200"/>
      <c r="O185" s="200"/>
      <c r="P185" s="200"/>
      <c r="Q185" s="200">
        <v>-273151</v>
      </c>
      <c r="R185" s="200"/>
      <c r="S185" s="200"/>
      <c r="T185" s="200"/>
    </row>
    <row r="186" spans="1:20">
      <c r="A186" s="200" t="s">
        <v>217</v>
      </c>
      <c r="B186" s="200" t="s">
        <v>91</v>
      </c>
      <c r="C186" s="200" t="s">
        <v>260</v>
      </c>
      <c r="D186" s="200" t="s">
        <v>93</v>
      </c>
      <c r="E186" s="200" t="s">
        <v>88</v>
      </c>
      <c r="F186" s="200" t="s">
        <v>217</v>
      </c>
      <c r="G186" s="200" t="s">
        <v>261</v>
      </c>
      <c r="H186" s="200" t="s">
        <v>225</v>
      </c>
      <c r="I186" s="200">
        <v>777276.79</v>
      </c>
      <c r="J186" s="200"/>
      <c r="K186" s="200"/>
      <c r="L186" s="200"/>
      <c r="M186" s="200"/>
      <c r="N186" s="200"/>
      <c r="O186" s="200"/>
      <c r="P186" s="200"/>
      <c r="Q186" s="200"/>
      <c r="R186" s="200"/>
      <c r="S186" s="200"/>
      <c r="T186" s="200">
        <v>777276.79</v>
      </c>
    </row>
    <row r="187" spans="1:20">
      <c r="A187" s="200" t="s">
        <v>217</v>
      </c>
      <c r="B187" s="200" t="s">
        <v>91</v>
      </c>
      <c r="C187" s="200" t="s">
        <v>262</v>
      </c>
      <c r="D187" s="200" t="s">
        <v>93</v>
      </c>
      <c r="E187" s="200" t="s">
        <v>88</v>
      </c>
      <c r="F187" s="200" t="s">
        <v>217</v>
      </c>
      <c r="G187" s="200" t="s">
        <v>263</v>
      </c>
      <c r="H187" s="200" t="s">
        <v>264</v>
      </c>
      <c r="I187" s="200">
        <v>10929</v>
      </c>
      <c r="J187" s="200"/>
      <c r="K187" s="200"/>
      <c r="L187" s="200"/>
      <c r="M187" s="200"/>
      <c r="N187" s="200"/>
      <c r="O187" s="200"/>
      <c r="P187" s="200"/>
      <c r="Q187" s="200">
        <v>10929</v>
      </c>
      <c r="R187" s="200"/>
      <c r="S187" s="200"/>
      <c r="T187" s="200"/>
    </row>
    <row r="188" spans="1:20">
      <c r="A188" s="200" t="s">
        <v>217</v>
      </c>
      <c r="B188" s="200" t="s">
        <v>92</v>
      </c>
      <c r="C188" s="200" t="s">
        <v>215</v>
      </c>
      <c r="D188" s="200" t="s">
        <v>88</v>
      </c>
      <c r="E188" s="200" t="s">
        <v>216</v>
      </c>
      <c r="F188" s="200" t="s">
        <v>217</v>
      </c>
      <c r="G188" s="200" t="s">
        <v>218</v>
      </c>
      <c r="H188" s="200" t="s">
        <v>219</v>
      </c>
      <c r="I188" s="200">
        <v>-104359</v>
      </c>
      <c r="J188" s="200"/>
      <c r="K188" s="200"/>
      <c r="L188" s="200"/>
      <c r="M188" s="200"/>
      <c r="N188" s="200"/>
      <c r="O188" s="200"/>
      <c r="P188" s="200"/>
      <c r="Q188" s="200"/>
      <c r="R188" s="200">
        <v>-104359</v>
      </c>
      <c r="S188" s="200"/>
      <c r="T188" s="200"/>
    </row>
  </sheetData>
  <mergeCells count="5">
    <mergeCell ref="A1:F1"/>
    <mergeCell ref="A3:F3"/>
    <mergeCell ref="A9:G9"/>
    <mergeCell ref="A126:G126"/>
    <mergeCell ref="A7:H7"/>
  </mergeCells>
  <pageMargins left="0.7" right="0.7" top="0.75" bottom="0.75" header="0.3" footer="0.3"/>
  <pageSetup paperSize="17" scale="4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4"/>
  <sheetViews>
    <sheetView topLeftCell="A7" zoomScaleNormal="100" workbookViewId="0">
      <selection activeCell="B18" sqref="B18"/>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5">
      <c r="A1" s="4" t="s">
        <v>13</v>
      </c>
      <c r="B1" s="223" t="s">
        <v>14</v>
      </c>
      <c r="C1" s="223"/>
      <c r="D1" s="223"/>
      <c r="E1" s="223"/>
    </row>
    <row r="2" spans="1:5" ht="81.75" customHeight="1">
      <c r="A2" s="1">
        <v>1</v>
      </c>
      <c r="B2" s="218" t="s">
        <v>16</v>
      </c>
      <c r="C2" s="218"/>
      <c r="D2" s="218"/>
      <c r="E2" s="218"/>
    </row>
    <row r="3" spans="1:5">
      <c r="B3" s="3"/>
      <c r="C3" s="3"/>
      <c r="D3" s="3"/>
      <c r="E3" s="3"/>
    </row>
    <row r="4" spans="1:5" ht="33" customHeight="1">
      <c r="A4" s="1">
        <v>2</v>
      </c>
      <c r="B4" s="218" t="s">
        <v>17</v>
      </c>
      <c r="C4" s="218"/>
      <c r="D4" s="218"/>
      <c r="E4" s="218"/>
    </row>
    <row r="5" spans="1:5">
      <c r="B5" s="3"/>
      <c r="C5" s="3"/>
      <c r="D5" s="3"/>
      <c r="E5" s="3"/>
    </row>
    <row r="6" spans="1:5" ht="32.25" customHeight="1">
      <c r="A6" s="1">
        <v>3</v>
      </c>
      <c r="B6" s="218" t="s">
        <v>180</v>
      </c>
      <c r="C6" s="218"/>
      <c r="D6" s="218"/>
      <c r="E6" s="218"/>
    </row>
    <row r="7" spans="1:5">
      <c r="B7" s="3"/>
      <c r="C7" s="3"/>
      <c r="D7" s="3"/>
      <c r="E7" s="3"/>
    </row>
    <row r="8" spans="1:5" ht="18" customHeight="1">
      <c r="A8" s="1">
        <v>4</v>
      </c>
      <c r="B8" s="219" t="s">
        <v>55</v>
      </c>
      <c r="C8" s="219"/>
      <c r="D8" s="7"/>
      <c r="E8" s="7"/>
    </row>
    <row r="9" spans="1:5" ht="18" customHeight="1">
      <c r="B9" s="225" t="s">
        <v>275</v>
      </c>
      <c r="C9" s="225"/>
      <c r="D9" s="10">
        <v>175000</v>
      </c>
    </row>
    <row r="10" spans="1:5" ht="18" customHeight="1">
      <c r="B10" s="218" t="s">
        <v>276</v>
      </c>
      <c r="C10" s="218"/>
      <c r="D10" s="9">
        <v>-43750</v>
      </c>
      <c r="E10" s="130">
        <f>D10/$D$9</f>
        <v>-0.25</v>
      </c>
    </row>
    <row r="11" spans="1:5" ht="30" customHeight="1">
      <c r="B11" s="225" t="s">
        <v>277</v>
      </c>
      <c r="C11" s="225"/>
      <c r="D11" s="11">
        <v>131250</v>
      </c>
      <c r="E11" s="130">
        <f>D11/$D$9</f>
        <v>0.75</v>
      </c>
    </row>
    <row r="12" spans="1:5" ht="31.5" customHeight="1">
      <c r="B12" s="218" t="s">
        <v>278</v>
      </c>
      <c r="C12" s="218"/>
      <c r="D12" s="8">
        <v>43750</v>
      </c>
      <c r="E12" s="130">
        <f>D12/$D$9</f>
        <v>0.25</v>
      </c>
    </row>
    <row r="13" spans="1:5" ht="36.75" customHeight="1">
      <c r="B13" s="225" t="s">
        <v>279</v>
      </c>
      <c r="C13" s="225"/>
      <c r="D13" s="12">
        <f>SUM(D11:D12)</f>
        <v>175000</v>
      </c>
    </row>
    <row r="14" spans="1:5" ht="18" customHeight="1">
      <c r="B14" s="3"/>
      <c r="C14" s="3"/>
      <c r="D14" s="14"/>
    </row>
    <row r="15" spans="1:5" ht="26.25" customHeight="1">
      <c r="A15" s="1">
        <v>5</v>
      </c>
      <c r="B15" s="224" t="s">
        <v>213</v>
      </c>
      <c r="C15" s="224"/>
      <c r="D15" s="224"/>
      <c r="E15" s="224"/>
    </row>
    <row r="16" spans="1:5">
      <c r="B16" s="3"/>
      <c r="C16" s="3"/>
      <c r="D16" s="3"/>
      <c r="E16" s="3"/>
    </row>
    <row r="17" spans="1:5" ht="31.5" customHeight="1">
      <c r="A17" s="1">
        <v>6</v>
      </c>
      <c r="B17" s="226" t="s">
        <v>290</v>
      </c>
      <c r="C17" s="226"/>
      <c r="D17" s="226"/>
      <c r="E17" s="226"/>
    </row>
    <row r="18" spans="1:5">
      <c r="B18" s="3"/>
      <c r="C18" s="3"/>
      <c r="D18" s="3"/>
      <c r="E18" s="3"/>
    </row>
    <row r="19" spans="1:5" ht="33" customHeight="1">
      <c r="A19" s="1">
        <v>7</v>
      </c>
      <c r="B19" s="218" t="s">
        <v>36</v>
      </c>
      <c r="C19" s="218"/>
      <c r="D19" s="218"/>
      <c r="E19" s="218"/>
    </row>
    <row r="20" spans="1:5" ht="14.25" customHeight="1">
      <c r="B20" s="3"/>
      <c r="C20" s="3"/>
      <c r="D20" s="3"/>
      <c r="E20" s="3"/>
    </row>
    <row r="21" spans="1:5" ht="47.25" customHeight="1">
      <c r="A21" s="1">
        <v>8</v>
      </c>
      <c r="B21" s="218" t="s">
        <v>37</v>
      </c>
      <c r="C21" s="218"/>
      <c r="D21" s="218"/>
      <c r="E21" s="218"/>
    </row>
    <row r="22" spans="1:5" ht="15" customHeight="1">
      <c r="B22" s="3"/>
      <c r="C22" s="3"/>
      <c r="D22" s="3"/>
      <c r="E22" s="3"/>
    </row>
    <row r="23" spans="1:5" ht="32.25" customHeight="1">
      <c r="A23" s="1">
        <v>9</v>
      </c>
      <c r="B23" s="218" t="s">
        <v>35</v>
      </c>
      <c r="C23" s="218"/>
      <c r="D23" s="218"/>
      <c r="E23" s="218"/>
    </row>
    <row r="24" spans="1:5" ht="15" customHeight="1">
      <c r="B24" s="3"/>
      <c r="C24" s="3"/>
      <c r="D24" s="3"/>
      <c r="E24" s="3"/>
    </row>
    <row r="25" spans="1:5" ht="33" customHeight="1">
      <c r="A25" s="1">
        <v>10</v>
      </c>
      <c r="B25" s="218" t="s">
        <v>38</v>
      </c>
      <c r="C25" s="218"/>
      <c r="D25" s="218"/>
      <c r="E25" s="218"/>
    </row>
    <row r="26" spans="1:5">
      <c r="B26" s="3"/>
      <c r="C26" s="3"/>
      <c r="D26" s="3"/>
      <c r="E26" s="3"/>
    </row>
    <row r="27" spans="1:5" ht="30" customHeight="1">
      <c r="A27" s="1">
        <v>11</v>
      </c>
      <c r="B27" s="218" t="s">
        <v>39</v>
      </c>
      <c r="C27" s="218"/>
      <c r="D27" s="218"/>
      <c r="E27" s="218"/>
    </row>
    <row r="28" spans="1:5">
      <c r="B28" s="3"/>
      <c r="C28" s="3"/>
      <c r="D28" s="3"/>
      <c r="E28" s="3"/>
    </row>
    <row r="29" spans="1:5" ht="31.5" customHeight="1">
      <c r="A29" s="1">
        <v>12</v>
      </c>
      <c r="B29" s="218" t="s">
        <v>40</v>
      </c>
      <c r="C29" s="218"/>
      <c r="D29" s="218"/>
      <c r="E29" s="218"/>
    </row>
    <row r="30" spans="1:5">
      <c r="B30" s="3"/>
      <c r="C30" s="3"/>
      <c r="D30" s="3"/>
      <c r="E30" s="3"/>
    </row>
    <row r="31" spans="1:5" ht="34.5" customHeight="1">
      <c r="A31" s="1">
        <v>13</v>
      </c>
      <c r="B31" s="218" t="s">
        <v>18</v>
      </c>
      <c r="C31" s="218"/>
      <c r="D31" s="218"/>
      <c r="E31" s="218"/>
    </row>
    <row r="32" spans="1:5" ht="16.5" customHeight="1">
      <c r="B32" s="3"/>
      <c r="C32" s="3"/>
      <c r="D32" s="3"/>
      <c r="E32" s="3"/>
    </row>
    <row r="33" spans="1:5" ht="64.5" customHeight="1">
      <c r="A33" s="1">
        <v>14</v>
      </c>
      <c r="B33" s="218" t="s">
        <v>19</v>
      </c>
      <c r="C33" s="218"/>
      <c r="D33" s="218"/>
      <c r="E33" s="218"/>
    </row>
    <row r="34" spans="1:5" ht="14.25" customHeight="1">
      <c r="B34" s="3"/>
      <c r="C34" s="3"/>
      <c r="D34" s="3"/>
      <c r="E34" s="3"/>
    </row>
    <row r="35" spans="1:5">
      <c r="A35" s="1">
        <v>15</v>
      </c>
      <c r="B35" s="219" t="s">
        <v>33</v>
      </c>
      <c r="C35" s="219"/>
      <c r="D35" s="219"/>
      <c r="E35" s="219"/>
    </row>
    <row r="36" spans="1:5">
      <c r="B36" s="13" t="s">
        <v>7</v>
      </c>
      <c r="C36" s="220" t="s">
        <v>20</v>
      </c>
      <c r="D36" s="220"/>
      <c r="E36" s="220"/>
    </row>
    <row r="37" spans="1:5">
      <c r="B37" s="5" t="s">
        <v>21</v>
      </c>
      <c r="C37" s="221" t="s">
        <v>28</v>
      </c>
      <c r="D37" s="221"/>
      <c r="E37" s="221"/>
    </row>
    <row r="38" spans="1:5">
      <c r="B38" s="13" t="s">
        <v>22</v>
      </c>
      <c r="C38" s="220" t="s">
        <v>29</v>
      </c>
      <c r="D38" s="220"/>
      <c r="E38" s="220"/>
    </row>
    <row r="39" spans="1:5">
      <c r="B39" s="5" t="s">
        <v>23</v>
      </c>
      <c r="C39" s="221" t="s">
        <v>32</v>
      </c>
      <c r="D39" s="221"/>
      <c r="E39" s="221"/>
    </row>
    <row r="40" spans="1:5">
      <c r="B40" s="13" t="s">
        <v>9</v>
      </c>
      <c r="C40" s="220" t="s">
        <v>30</v>
      </c>
      <c r="D40" s="220"/>
      <c r="E40" s="220"/>
    </row>
    <row r="41" spans="1:5">
      <c r="B41" s="5" t="s">
        <v>8</v>
      </c>
      <c r="C41" s="221" t="s">
        <v>24</v>
      </c>
      <c r="D41" s="221"/>
      <c r="E41" s="221"/>
    </row>
    <row r="42" spans="1:5">
      <c r="B42" s="13" t="s">
        <v>25</v>
      </c>
      <c r="C42" s="220" t="s">
        <v>26</v>
      </c>
      <c r="D42" s="220"/>
      <c r="E42" s="220"/>
    </row>
    <row r="43" spans="1:5">
      <c r="B43" s="5" t="s">
        <v>27</v>
      </c>
      <c r="C43" s="221" t="s">
        <v>31</v>
      </c>
      <c r="D43" s="221"/>
      <c r="E43" s="221"/>
    </row>
    <row r="44" spans="1:5">
      <c r="B44" s="5"/>
      <c r="C44" s="6"/>
      <c r="D44" s="6"/>
      <c r="E44" s="6"/>
    </row>
    <row r="45" spans="1:5">
      <c r="A45" s="1">
        <v>16</v>
      </c>
      <c r="B45" s="15" t="s">
        <v>61</v>
      </c>
      <c r="C45" s="6"/>
      <c r="D45" s="6"/>
      <c r="E45" s="6"/>
    </row>
    <row r="46" spans="1:5" ht="30" customHeight="1">
      <c r="B46" s="13" t="s">
        <v>48</v>
      </c>
      <c r="C46" s="220" t="s">
        <v>63</v>
      </c>
      <c r="D46" s="220"/>
      <c r="E46" s="220"/>
    </row>
    <row r="47" spans="1:5">
      <c r="B47" s="5" t="s">
        <v>49</v>
      </c>
      <c r="C47" s="221" t="s">
        <v>62</v>
      </c>
      <c r="D47" s="221"/>
      <c r="E47" s="221"/>
    </row>
    <row r="48" spans="1:5" ht="48.75" customHeight="1">
      <c r="B48" s="13" t="s">
        <v>50</v>
      </c>
      <c r="C48" s="220" t="s">
        <v>65</v>
      </c>
      <c r="D48" s="220"/>
      <c r="E48" s="220"/>
    </row>
    <row r="49" spans="1:5" ht="29.25" customHeight="1">
      <c r="B49" s="5" t="s">
        <v>51</v>
      </c>
      <c r="C49" s="221" t="s">
        <v>64</v>
      </c>
      <c r="D49" s="221"/>
      <c r="E49" s="221"/>
    </row>
    <row r="50" spans="1:5">
      <c r="B50" s="5"/>
      <c r="C50" s="6"/>
      <c r="D50" s="6"/>
      <c r="E50" s="6"/>
    </row>
    <row r="51" spans="1:5" ht="113.4" customHeight="1">
      <c r="A51" s="1">
        <v>17</v>
      </c>
      <c r="B51" s="222" t="s">
        <v>285</v>
      </c>
      <c r="C51" s="222"/>
      <c r="D51" s="222"/>
      <c r="E51" s="222"/>
    </row>
    <row r="52" spans="1:5">
      <c r="B52" s="2"/>
    </row>
    <row r="53" spans="1:5">
      <c r="A53" s="217" t="s">
        <v>211</v>
      </c>
      <c r="B53" s="217"/>
      <c r="C53" s="217"/>
      <c r="D53" s="217"/>
      <c r="E53" s="217"/>
    </row>
    <row r="54" spans="1:5">
      <c r="A54" s="180" t="s">
        <v>212</v>
      </c>
    </row>
  </sheetData>
  <mergeCells count="35">
    <mergeCell ref="B17:E17"/>
    <mergeCell ref="C46:E46"/>
    <mergeCell ref="C47:E47"/>
    <mergeCell ref="C49:E49"/>
    <mergeCell ref="C48:E48"/>
    <mergeCell ref="B29:E29"/>
    <mergeCell ref="B31:E31"/>
    <mergeCell ref="B33:E33"/>
    <mergeCell ref="B25:E25"/>
    <mergeCell ref="B27:E27"/>
    <mergeCell ref="B1:E1"/>
    <mergeCell ref="B2:E2"/>
    <mergeCell ref="B4:E4"/>
    <mergeCell ref="B15:E15"/>
    <mergeCell ref="B10:C10"/>
    <mergeCell ref="B11:C11"/>
    <mergeCell ref="B13:C13"/>
    <mergeCell ref="B12:C12"/>
    <mergeCell ref="B8:C8"/>
    <mergeCell ref="B9:C9"/>
    <mergeCell ref="B6:E6"/>
    <mergeCell ref="A53:E53"/>
    <mergeCell ref="B19:E19"/>
    <mergeCell ref="B35:E35"/>
    <mergeCell ref="C36:E36"/>
    <mergeCell ref="C37:E37"/>
    <mergeCell ref="C38:E38"/>
    <mergeCell ref="C39:E39"/>
    <mergeCell ref="C40:E40"/>
    <mergeCell ref="C41:E41"/>
    <mergeCell ref="C42:E42"/>
    <mergeCell ref="C43:E43"/>
    <mergeCell ref="B21:E21"/>
    <mergeCell ref="B23:E23"/>
    <mergeCell ref="B51:E51"/>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7"/>
  <sheetViews>
    <sheetView workbookViewId="0">
      <selection activeCell="C5" sqref="C5"/>
    </sheetView>
  </sheetViews>
  <sheetFormatPr defaultRowHeight="14.4"/>
  <cols>
    <col min="2" max="2" width="25.6640625" customWidth="1"/>
    <col min="3" max="3" width="11.5546875" bestFit="1" customWidth="1"/>
    <col min="4" max="4" width="14.33203125" bestFit="1" customWidth="1"/>
    <col min="5" max="5" width="9.44140625" bestFit="1" customWidth="1"/>
    <col min="6" max="6" width="11.5546875" bestFit="1" customWidth="1"/>
    <col min="7" max="7" width="9.109375"/>
    <col min="8" max="8" width="25.6640625" customWidth="1"/>
    <col min="9" max="9" width="11.5546875" bestFit="1" customWidth="1"/>
    <col min="10" max="10" width="14.33203125" bestFit="1" customWidth="1"/>
    <col min="11" max="11" width="9.44140625" bestFit="1" customWidth="1"/>
    <col min="12" max="12" width="11.5546875" bestFit="1" customWidth="1"/>
    <col min="13" max="13" width="9.109375"/>
    <col min="14" max="14" width="25.6640625" customWidth="1"/>
    <col min="15" max="15" width="9.109375"/>
    <col min="16" max="16" width="14.33203125" bestFit="1" customWidth="1"/>
    <col min="17" max="17" width="9.44140625" bestFit="1" customWidth="1"/>
    <col min="18" max="18" width="11.5546875" bestFit="1" customWidth="1"/>
    <col min="19" max="19" width="9.109375"/>
    <col min="20" max="20" width="25.6640625" customWidth="1"/>
    <col min="21" max="21" width="9.109375"/>
    <col min="22" max="22" width="14.33203125" bestFit="1" customWidth="1"/>
    <col min="23" max="23" width="9.44140625" bestFit="1" customWidth="1"/>
    <col min="24" max="24" width="11.5546875" bestFit="1" customWidth="1"/>
    <col min="26" max="26" width="41.5546875" customWidth="1"/>
    <col min="29" max="29" width="9.44140625" bestFit="1" customWidth="1"/>
    <col min="32" max="32" width="41.5546875" customWidth="1"/>
    <col min="35" max="35" width="9.44140625" bestFit="1" customWidth="1"/>
  </cols>
  <sheetData>
    <row r="1" spans="1:35" ht="15" thickBot="1">
      <c r="A1" s="227" t="s">
        <v>168</v>
      </c>
      <c r="B1" s="228"/>
      <c r="C1" s="235" t="s">
        <v>284</v>
      </c>
      <c r="D1" s="236"/>
      <c r="E1" s="237"/>
      <c r="G1" s="227" t="s">
        <v>168</v>
      </c>
      <c r="H1" s="228"/>
      <c r="I1" s="235" t="s">
        <v>242</v>
      </c>
      <c r="J1" s="236"/>
      <c r="K1" s="237"/>
      <c r="M1" s="227" t="s">
        <v>168</v>
      </c>
      <c r="N1" s="228"/>
      <c r="O1" s="235" t="s">
        <v>226</v>
      </c>
      <c r="P1" s="236"/>
      <c r="Q1" s="237"/>
      <c r="S1" s="233" t="s">
        <v>168</v>
      </c>
      <c r="T1" s="234"/>
      <c r="U1" s="235" t="s">
        <v>203</v>
      </c>
      <c r="V1" s="236"/>
      <c r="W1" s="237"/>
      <c r="Y1" s="227" t="s">
        <v>168</v>
      </c>
      <c r="Z1" s="228"/>
      <c r="AA1" s="229" t="s">
        <v>181</v>
      </c>
      <c r="AB1" s="230"/>
      <c r="AC1" s="231"/>
      <c r="AE1" s="227" t="s">
        <v>168</v>
      </c>
      <c r="AF1" s="228"/>
      <c r="AG1" s="229" t="s">
        <v>179</v>
      </c>
      <c r="AH1" s="230"/>
      <c r="AI1" s="231"/>
    </row>
    <row r="2" spans="1:35">
      <c r="A2" s="127" t="s">
        <v>169</v>
      </c>
      <c r="B2" s="186" t="s">
        <v>170</v>
      </c>
      <c r="C2" s="193" t="s">
        <v>164</v>
      </c>
      <c r="D2" s="194" t="s">
        <v>165</v>
      </c>
      <c r="E2" s="195" t="s">
        <v>10</v>
      </c>
      <c r="G2" s="127" t="s">
        <v>169</v>
      </c>
      <c r="H2" s="186" t="s">
        <v>170</v>
      </c>
      <c r="I2" s="193" t="s">
        <v>164</v>
      </c>
      <c r="J2" s="194" t="s">
        <v>165</v>
      </c>
      <c r="K2" s="195" t="s">
        <v>10</v>
      </c>
      <c r="M2" s="127" t="s">
        <v>169</v>
      </c>
      <c r="N2" s="186" t="s">
        <v>170</v>
      </c>
      <c r="O2" s="193" t="s">
        <v>164</v>
      </c>
      <c r="P2" s="194" t="s">
        <v>165</v>
      </c>
      <c r="Q2" s="195" t="s">
        <v>10</v>
      </c>
      <c r="S2" s="188" t="s">
        <v>169</v>
      </c>
      <c r="T2" s="196" t="s">
        <v>170</v>
      </c>
      <c r="U2" s="193" t="s">
        <v>164</v>
      </c>
      <c r="V2" s="194" t="s">
        <v>165</v>
      </c>
      <c r="W2" s="195" t="s">
        <v>10</v>
      </c>
      <c r="Y2" s="127" t="s">
        <v>169</v>
      </c>
      <c r="Z2" s="128" t="s">
        <v>170</v>
      </c>
      <c r="AA2" s="104" t="s">
        <v>164</v>
      </c>
      <c r="AB2" s="105" t="s">
        <v>165</v>
      </c>
      <c r="AC2" s="106" t="s">
        <v>10</v>
      </c>
      <c r="AE2" s="127" t="s">
        <v>169</v>
      </c>
      <c r="AF2" s="128" t="s">
        <v>170</v>
      </c>
      <c r="AG2" s="104" t="s">
        <v>164</v>
      </c>
      <c r="AH2" s="105" t="s">
        <v>165</v>
      </c>
      <c r="AI2" s="106" t="s">
        <v>10</v>
      </c>
    </row>
    <row r="3" spans="1:35">
      <c r="A3" s="107" t="s">
        <v>171</v>
      </c>
      <c r="B3" s="161" t="s">
        <v>172</v>
      </c>
      <c r="C3" s="107"/>
      <c r="D3" s="177">
        <v>175000</v>
      </c>
      <c r="E3" s="109">
        <f>+D3+C3</f>
        <v>175000</v>
      </c>
      <c r="G3" s="107" t="s">
        <v>171</v>
      </c>
      <c r="H3" s="161" t="s">
        <v>172</v>
      </c>
      <c r="I3" s="107"/>
      <c r="J3" s="177">
        <v>175000</v>
      </c>
      <c r="K3" s="109">
        <f>+J3+I3</f>
        <v>175000</v>
      </c>
      <c r="M3" s="107" t="s">
        <v>171</v>
      </c>
      <c r="N3" s="161" t="s">
        <v>172</v>
      </c>
      <c r="O3" s="107"/>
      <c r="P3" s="177">
        <v>175000</v>
      </c>
      <c r="Q3" s="109">
        <f>+P3+O3</f>
        <v>175000</v>
      </c>
      <c r="S3" s="189" t="s">
        <v>171</v>
      </c>
      <c r="T3" s="197" t="s">
        <v>172</v>
      </c>
      <c r="U3" s="107"/>
      <c r="V3" s="108">
        <v>175000</v>
      </c>
      <c r="W3" s="109">
        <f>+V3+U3</f>
        <v>175000</v>
      </c>
      <c r="Y3" s="107" t="s">
        <v>171</v>
      </c>
      <c r="Z3" s="129" t="s">
        <v>172</v>
      </c>
      <c r="AA3" s="107"/>
      <c r="AB3" s="108">
        <v>175000</v>
      </c>
      <c r="AC3" s="109">
        <f>+AB3+AA3</f>
        <v>175000</v>
      </c>
      <c r="AE3" s="107" t="s">
        <v>171</v>
      </c>
      <c r="AF3" s="129" t="s">
        <v>172</v>
      </c>
      <c r="AG3" s="107">
        <f>C3-O3</f>
        <v>0</v>
      </c>
      <c r="AH3" s="107">
        <f>D3-P3</f>
        <v>0</v>
      </c>
      <c r="AI3" s="109">
        <f>SUM(AG3:AH3)</f>
        <v>0</v>
      </c>
    </row>
    <row r="4" spans="1:35">
      <c r="A4" s="107" t="s">
        <v>171</v>
      </c>
      <c r="B4" s="161" t="s">
        <v>173</v>
      </c>
      <c r="C4" s="178">
        <f>ROUNDDOWN(417791-417791*0.025,0)+1</f>
        <v>407347</v>
      </c>
      <c r="D4" s="108"/>
      <c r="E4" s="109">
        <f t="shared" ref="E4:E10" si="0">+D4+C4</f>
        <v>407347</v>
      </c>
      <c r="G4" s="107" t="s">
        <v>171</v>
      </c>
      <c r="H4" s="161" t="s">
        <v>173</v>
      </c>
      <c r="I4" s="178">
        <f>ROUNDDOWN(409599-409599*0.025,2)</f>
        <v>399359.02</v>
      </c>
      <c r="J4" s="108"/>
      <c r="K4" s="109">
        <f t="shared" ref="K4:K10" si="1">+J4+I4</f>
        <v>399359.02</v>
      </c>
      <c r="M4" s="107" t="s">
        <v>171</v>
      </c>
      <c r="N4" s="161" t="s">
        <v>173</v>
      </c>
      <c r="O4" s="178">
        <f>401567-O5</f>
        <v>391527.82500000001</v>
      </c>
      <c r="P4" s="108"/>
      <c r="Q4" s="109">
        <f t="shared" ref="Q4:Q10" si="2">+P4+O4</f>
        <v>391527.82500000001</v>
      </c>
      <c r="S4" s="189" t="s">
        <v>171</v>
      </c>
      <c r="T4" s="197" t="s">
        <v>173</v>
      </c>
      <c r="U4" s="107">
        <v>383851</v>
      </c>
      <c r="V4" s="108"/>
      <c r="W4" s="109">
        <f t="shared" ref="W4:W10" si="3">+V4+U4</f>
        <v>383851</v>
      </c>
      <c r="Y4" s="107" t="s">
        <v>171</v>
      </c>
      <c r="Z4" s="129" t="s">
        <v>173</v>
      </c>
      <c r="AA4" s="107">
        <v>376325</v>
      </c>
      <c r="AB4" s="108"/>
      <c r="AC4" s="109">
        <f t="shared" ref="AC4:AC10" si="4">+AB4+AA4</f>
        <v>376325</v>
      </c>
      <c r="AE4" s="107" t="s">
        <v>171</v>
      </c>
      <c r="AF4" s="129" t="s">
        <v>173</v>
      </c>
      <c r="AG4" s="107">
        <f t="shared" ref="AG4:AG10" si="5">C4-O4</f>
        <v>15819.174999999988</v>
      </c>
      <c r="AH4" s="107">
        <f t="shared" ref="AH4:AH10" si="6">D4-P4</f>
        <v>0</v>
      </c>
      <c r="AI4" s="109">
        <f t="shared" ref="AI4:AI11" si="7">SUM(AG4:AH4)</f>
        <v>15819.174999999988</v>
      </c>
    </row>
    <row r="5" spans="1:35">
      <c r="A5" s="107" t="s">
        <v>171</v>
      </c>
      <c r="B5" s="161" t="s">
        <v>185</v>
      </c>
      <c r="C5" s="178">
        <f>ROUNDDOWN(417791*0.025,0)</f>
        <v>10444</v>
      </c>
      <c r="D5" s="108"/>
      <c r="E5" s="109">
        <f t="shared" si="0"/>
        <v>10444</v>
      </c>
      <c r="G5" s="107" t="s">
        <v>171</v>
      </c>
      <c r="H5" s="161" t="s">
        <v>185</v>
      </c>
      <c r="I5" s="178">
        <f>ROUNDDOWN(409599*0.025,2)</f>
        <v>10239.969999999999</v>
      </c>
      <c r="J5" s="108"/>
      <c r="K5" s="109">
        <f t="shared" si="1"/>
        <v>10239.969999999999</v>
      </c>
      <c r="M5" s="107" t="s">
        <v>171</v>
      </c>
      <c r="N5" s="161" t="s">
        <v>185</v>
      </c>
      <c r="O5" s="178">
        <v>10039.175000000001</v>
      </c>
      <c r="P5" s="108"/>
      <c r="Q5" s="109">
        <f t="shared" si="2"/>
        <v>10039.175000000001</v>
      </c>
      <c r="S5" s="189" t="s">
        <v>171</v>
      </c>
      <c r="T5" s="197" t="s">
        <v>185</v>
      </c>
      <c r="U5" s="107">
        <v>9842</v>
      </c>
      <c r="V5" s="108"/>
      <c r="W5" s="109">
        <f t="shared" si="3"/>
        <v>9842</v>
      </c>
      <c r="Y5" s="107" t="s">
        <v>171</v>
      </c>
      <c r="Z5" s="129" t="s">
        <v>185</v>
      </c>
      <c r="AA5" s="107">
        <v>9649</v>
      </c>
      <c r="AB5" s="108"/>
      <c r="AC5" s="109">
        <f t="shared" si="4"/>
        <v>9649</v>
      </c>
      <c r="AE5" s="107" t="s">
        <v>171</v>
      </c>
      <c r="AF5" s="129" t="s">
        <v>185</v>
      </c>
      <c r="AG5" s="107">
        <f t="shared" si="5"/>
        <v>404.82499999999891</v>
      </c>
      <c r="AH5" s="107">
        <f t="shared" si="6"/>
        <v>0</v>
      </c>
      <c r="AI5" s="109">
        <f t="shared" si="7"/>
        <v>404.82499999999891</v>
      </c>
    </row>
    <row r="6" spans="1:35">
      <c r="A6" s="107" t="s">
        <v>171</v>
      </c>
      <c r="B6" s="161" t="s">
        <v>196</v>
      </c>
      <c r="C6" s="107"/>
      <c r="D6" s="108"/>
      <c r="E6" s="109">
        <f t="shared" si="0"/>
        <v>0</v>
      </c>
      <c r="G6" s="107" t="s">
        <v>171</v>
      </c>
      <c r="H6" s="161" t="s">
        <v>196</v>
      </c>
      <c r="I6" s="107"/>
      <c r="J6" s="108"/>
      <c r="K6" s="109">
        <f t="shared" si="1"/>
        <v>0</v>
      </c>
      <c r="M6" s="107" t="s">
        <v>171</v>
      </c>
      <c r="N6" s="161" t="s">
        <v>196</v>
      </c>
      <c r="O6" s="107"/>
      <c r="P6" s="108"/>
      <c r="Q6" s="109">
        <f t="shared" si="2"/>
        <v>0</v>
      </c>
      <c r="S6" s="189" t="s">
        <v>171</v>
      </c>
      <c r="T6" s="197" t="s">
        <v>196</v>
      </c>
      <c r="U6" s="107"/>
      <c r="V6" s="108"/>
      <c r="W6" s="109">
        <f t="shared" si="3"/>
        <v>0</v>
      </c>
      <c r="Y6" s="107" t="s">
        <v>171</v>
      </c>
      <c r="Z6" s="129" t="s">
        <v>196</v>
      </c>
      <c r="AA6" s="107"/>
      <c r="AB6" s="108"/>
      <c r="AC6" s="109">
        <f t="shared" si="4"/>
        <v>0</v>
      </c>
      <c r="AE6" s="107" t="s">
        <v>171</v>
      </c>
      <c r="AF6" s="129" t="s">
        <v>196</v>
      </c>
      <c r="AG6" s="107">
        <f t="shared" si="5"/>
        <v>0</v>
      </c>
      <c r="AH6" s="107">
        <f t="shared" si="6"/>
        <v>0</v>
      </c>
      <c r="AI6" s="109">
        <f t="shared" si="7"/>
        <v>0</v>
      </c>
    </row>
    <row r="7" spans="1:35">
      <c r="A7" s="107" t="s">
        <v>171</v>
      </c>
      <c r="B7" s="161" t="s">
        <v>192</v>
      </c>
      <c r="C7" s="107"/>
      <c r="D7" s="177">
        <v>284080</v>
      </c>
      <c r="E7" s="109">
        <f t="shared" si="0"/>
        <v>284080</v>
      </c>
      <c r="G7" s="107" t="s">
        <v>171</v>
      </c>
      <c r="H7" s="161" t="s">
        <v>192</v>
      </c>
      <c r="I7" s="107"/>
      <c r="J7" s="177">
        <v>284080</v>
      </c>
      <c r="K7" s="109">
        <f t="shared" si="1"/>
        <v>284080</v>
      </c>
      <c r="M7" s="107" t="s">
        <v>171</v>
      </c>
      <c r="N7" s="161" t="s">
        <v>192</v>
      </c>
      <c r="O7" s="107"/>
      <c r="P7" s="177">
        <v>221497</v>
      </c>
      <c r="Q7" s="109">
        <f t="shared" si="2"/>
        <v>221497</v>
      </c>
      <c r="S7" s="189" t="s">
        <v>171</v>
      </c>
      <c r="T7" s="197" t="s">
        <v>192</v>
      </c>
      <c r="U7" s="107"/>
      <c r="V7" s="108">
        <v>221497</v>
      </c>
      <c r="W7" s="109">
        <f t="shared" si="3"/>
        <v>221497</v>
      </c>
      <c r="Y7" s="107" t="s">
        <v>171</v>
      </c>
      <c r="Z7" s="129" t="s">
        <v>192</v>
      </c>
      <c r="AA7" s="107"/>
      <c r="AB7" s="108">
        <v>221497</v>
      </c>
      <c r="AC7" s="109">
        <f t="shared" si="4"/>
        <v>221497</v>
      </c>
      <c r="AE7" s="107" t="s">
        <v>171</v>
      </c>
      <c r="AF7" s="129" t="s">
        <v>192</v>
      </c>
      <c r="AG7" s="107">
        <f t="shared" si="5"/>
        <v>0</v>
      </c>
      <c r="AH7" s="107">
        <f t="shared" si="6"/>
        <v>62583</v>
      </c>
      <c r="AI7" s="109">
        <f t="shared" si="7"/>
        <v>62583</v>
      </c>
    </row>
    <row r="8" spans="1:35">
      <c r="A8" s="107" t="s">
        <v>171</v>
      </c>
      <c r="B8" s="161" t="s">
        <v>193</v>
      </c>
      <c r="C8" s="107"/>
      <c r="D8" s="177">
        <v>691817</v>
      </c>
      <c r="E8" s="109">
        <f t="shared" si="0"/>
        <v>691817</v>
      </c>
      <c r="G8" s="107" t="s">
        <v>171</v>
      </c>
      <c r="H8" s="161" t="s">
        <v>193</v>
      </c>
      <c r="I8" s="107"/>
      <c r="J8" s="177">
        <v>691817</v>
      </c>
      <c r="K8" s="109">
        <f t="shared" si="1"/>
        <v>691817</v>
      </c>
      <c r="M8" s="107" t="s">
        <v>171</v>
      </c>
      <c r="N8" s="161" t="s">
        <v>193</v>
      </c>
      <c r="O8" s="107"/>
      <c r="P8" s="177">
        <v>730793</v>
      </c>
      <c r="Q8" s="109">
        <f t="shared" si="2"/>
        <v>730793</v>
      </c>
      <c r="S8" s="189" t="s">
        <v>171</v>
      </c>
      <c r="T8" s="197" t="s">
        <v>193</v>
      </c>
      <c r="U8" s="107"/>
      <c r="V8" s="108">
        <v>730793</v>
      </c>
      <c r="W8" s="109">
        <f t="shared" si="3"/>
        <v>730793</v>
      </c>
      <c r="Y8" s="107" t="s">
        <v>171</v>
      </c>
      <c r="Z8" s="129" t="s">
        <v>193</v>
      </c>
      <c r="AA8" s="107"/>
      <c r="AB8" s="108">
        <v>730793</v>
      </c>
      <c r="AC8" s="109">
        <f t="shared" si="4"/>
        <v>730793</v>
      </c>
      <c r="AE8" s="107" t="s">
        <v>171</v>
      </c>
      <c r="AF8" s="129" t="s">
        <v>193</v>
      </c>
      <c r="AG8" s="107">
        <f t="shared" si="5"/>
        <v>0</v>
      </c>
      <c r="AH8" s="107">
        <f t="shared" si="6"/>
        <v>-38976</v>
      </c>
      <c r="AI8" s="109">
        <f t="shared" si="7"/>
        <v>-38976</v>
      </c>
    </row>
    <row r="9" spans="1:35">
      <c r="A9" s="107" t="s">
        <v>171</v>
      </c>
      <c r="B9" s="161" t="s">
        <v>194</v>
      </c>
      <c r="C9" s="107"/>
      <c r="D9" s="177">
        <v>183581</v>
      </c>
      <c r="E9" s="109">
        <f t="shared" si="0"/>
        <v>183581</v>
      </c>
      <c r="G9" s="107" t="s">
        <v>171</v>
      </c>
      <c r="H9" s="161" t="s">
        <v>194</v>
      </c>
      <c r="I9" s="107"/>
      <c r="J9" s="177">
        <v>183581</v>
      </c>
      <c r="K9" s="109">
        <f t="shared" si="1"/>
        <v>183581</v>
      </c>
      <c r="M9" s="107" t="s">
        <v>171</v>
      </c>
      <c r="N9" s="161" t="s">
        <v>194</v>
      </c>
      <c r="O9" s="107"/>
      <c r="P9" s="177">
        <v>129983</v>
      </c>
      <c r="Q9" s="109">
        <f t="shared" si="2"/>
        <v>129983</v>
      </c>
      <c r="S9" s="189" t="s">
        <v>171</v>
      </c>
      <c r="T9" s="197" t="s">
        <v>194</v>
      </c>
      <c r="U9" s="107"/>
      <c r="V9" s="108">
        <v>129983</v>
      </c>
      <c r="W9" s="109">
        <f t="shared" si="3"/>
        <v>129983</v>
      </c>
      <c r="Y9" s="107" t="s">
        <v>171</v>
      </c>
      <c r="Z9" s="129" t="s">
        <v>194</v>
      </c>
      <c r="AA9" s="107"/>
      <c r="AB9" s="108">
        <v>129983</v>
      </c>
      <c r="AC9" s="109">
        <f t="shared" si="4"/>
        <v>129983</v>
      </c>
      <c r="AE9" s="107" t="s">
        <v>171</v>
      </c>
      <c r="AF9" s="129" t="s">
        <v>194</v>
      </c>
      <c r="AG9" s="107">
        <f t="shared" si="5"/>
        <v>0</v>
      </c>
      <c r="AH9" s="107">
        <f t="shared" si="6"/>
        <v>53598</v>
      </c>
      <c r="AI9" s="109">
        <f t="shared" si="7"/>
        <v>53598</v>
      </c>
    </row>
    <row r="10" spans="1:35">
      <c r="A10" s="107" t="s">
        <v>171</v>
      </c>
      <c r="B10" s="161" t="s">
        <v>195</v>
      </c>
      <c r="C10" s="178">
        <v>298231</v>
      </c>
      <c r="D10" s="108"/>
      <c r="E10" s="109">
        <f t="shared" si="0"/>
        <v>298231</v>
      </c>
      <c r="G10" s="107" t="s">
        <v>171</v>
      </c>
      <c r="H10" s="161" t="s">
        <v>195</v>
      </c>
      <c r="I10" s="178">
        <v>292384</v>
      </c>
      <c r="J10" s="108"/>
      <c r="K10" s="109">
        <f t="shared" si="1"/>
        <v>292384</v>
      </c>
      <c r="M10" s="107" t="s">
        <v>171</v>
      </c>
      <c r="N10" s="161" t="s">
        <v>195</v>
      </c>
      <c r="O10" s="178">
        <v>286651</v>
      </c>
      <c r="P10" s="108"/>
      <c r="Q10" s="109">
        <f t="shared" si="2"/>
        <v>286651</v>
      </c>
      <c r="S10" s="189" t="s">
        <v>171</v>
      </c>
      <c r="T10" s="197" t="s">
        <v>195</v>
      </c>
      <c r="U10" s="107">
        <v>313951</v>
      </c>
      <c r="V10" s="108"/>
      <c r="W10" s="109">
        <f t="shared" si="3"/>
        <v>313951</v>
      </c>
      <c r="Y10" s="107" t="s">
        <v>171</v>
      </c>
      <c r="Z10" s="161" t="s">
        <v>195</v>
      </c>
      <c r="AA10" s="107">
        <v>307796</v>
      </c>
      <c r="AB10" s="162"/>
      <c r="AC10" s="109">
        <f t="shared" si="4"/>
        <v>307796</v>
      </c>
      <c r="AE10" s="107" t="s">
        <v>171</v>
      </c>
      <c r="AF10" s="161" t="s">
        <v>195</v>
      </c>
      <c r="AG10" s="107">
        <f t="shared" si="5"/>
        <v>11580</v>
      </c>
      <c r="AH10" s="107">
        <f t="shared" si="6"/>
        <v>0</v>
      </c>
      <c r="AI10" s="109">
        <f t="shared" si="7"/>
        <v>11580</v>
      </c>
    </row>
    <row r="11" spans="1:35">
      <c r="A11" s="107"/>
      <c r="B11" s="141" t="s">
        <v>174</v>
      </c>
      <c r="C11" s="142">
        <f>SUM(C3:C10)</f>
        <v>716022</v>
      </c>
      <c r="D11" s="192">
        <f>SUM(D3:D10)</f>
        <v>1334478</v>
      </c>
      <c r="E11" s="140">
        <f>SUM(E3:E10)</f>
        <v>2050500</v>
      </c>
      <c r="G11" s="107"/>
      <c r="H11" s="141" t="s">
        <v>174</v>
      </c>
      <c r="I11" s="142">
        <f>SUM(I3:I10)</f>
        <v>701982.99</v>
      </c>
      <c r="J11" s="192">
        <f>SUM(J3:J10)</f>
        <v>1334478</v>
      </c>
      <c r="K11" s="140">
        <f>SUM(K3:K10)</f>
        <v>2036460.99</v>
      </c>
      <c r="M11" s="107"/>
      <c r="N11" s="141" t="s">
        <v>174</v>
      </c>
      <c r="O11" s="142">
        <f>SUM(O3:O10)</f>
        <v>688218</v>
      </c>
      <c r="P11" s="192">
        <f>SUM(P3:P10)</f>
        <v>1257273</v>
      </c>
      <c r="Q11" s="140">
        <f>SUM(Q3:Q10)</f>
        <v>1945491</v>
      </c>
      <c r="S11" s="189"/>
      <c r="T11" s="198" t="s">
        <v>174</v>
      </c>
      <c r="U11" s="142">
        <f>SUM(U3:U10)</f>
        <v>707644</v>
      </c>
      <c r="V11" s="192">
        <f>SUM(V3:V10)</f>
        <v>1257273</v>
      </c>
      <c r="W11" s="140">
        <f>SUM(W3:W10)</f>
        <v>1964917</v>
      </c>
      <c r="Y11" s="107"/>
      <c r="Z11" s="141" t="s">
        <v>174</v>
      </c>
      <c r="AA11" s="142">
        <f>SUM(AA3:AA10)</f>
        <v>693770</v>
      </c>
      <c r="AB11" s="142">
        <f>SUM(AB3:AB10)</f>
        <v>1257273</v>
      </c>
      <c r="AC11" s="140">
        <f>SUM(AC3:AC10)</f>
        <v>1951043</v>
      </c>
      <c r="AE11" s="107"/>
      <c r="AF11" s="141" t="s">
        <v>174</v>
      </c>
      <c r="AG11" s="142">
        <f>SUM(AG3:AG10)</f>
        <v>27803.999999999985</v>
      </c>
      <c r="AH11" s="107">
        <f t="shared" ref="AH11" si="8">D11-V11</f>
        <v>77205</v>
      </c>
      <c r="AI11" s="109">
        <f t="shared" si="7"/>
        <v>105008.99999999999</v>
      </c>
    </row>
    <row r="12" spans="1:35" ht="15" thickBot="1">
      <c r="A12" s="143"/>
      <c r="B12" s="187" t="s">
        <v>175</v>
      </c>
      <c r="C12" s="239" t="s">
        <v>166</v>
      </c>
      <c r="D12" s="240"/>
      <c r="E12" s="191">
        <f>ROUND(E11*0.949,0)</f>
        <v>1945925</v>
      </c>
      <c r="G12" s="143"/>
      <c r="H12" s="187" t="s">
        <v>175</v>
      </c>
      <c r="I12" s="239" t="s">
        <v>166</v>
      </c>
      <c r="J12" s="240"/>
      <c r="K12" s="191">
        <f>K11*0.949</f>
        <v>1932601.47951</v>
      </c>
      <c r="M12" s="143"/>
      <c r="N12" s="187" t="s">
        <v>175</v>
      </c>
      <c r="O12" s="238" t="s">
        <v>166</v>
      </c>
      <c r="P12" s="232"/>
      <c r="Q12" s="110">
        <f>Q11*0.949</f>
        <v>1846270.9589999998</v>
      </c>
      <c r="S12" s="190"/>
      <c r="T12" s="144" t="s">
        <v>175</v>
      </c>
      <c r="U12" s="238" t="s">
        <v>166</v>
      </c>
      <c r="V12" s="232"/>
      <c r="W12" s="110">
        <f>W11*0.949</f>
        <v>1864706.233</v>
      </c>
      <c r="Y12" s="143"/>
      <c r="Z12" s="145" t="s">
        <v>175</v>
      </c>
      <c r="AA12" s="232" t="s">
        <v>166</v>
      </c>
      <c r="AB12" s="232"/>
      <c r="AC12" s="110">
        <f>AC11*0.949</f>
        <v>1851539.8069999998</v>
      </c>
      <c r="AE12" s="143"/>
      <c r="AF12" s="144" t="s">
        <v>175</v>
      </c>
      <c r="AG12" s="241" t="s">
        <v>166</v>
      </c>
      <c r="AH12" s="242"/>
      <c r="AI12" s="110">
        <f>AI11*0.949</f>
        <v>99653.540999999983</v>
      </c>
    </row>
    <row r="13" spans="1:35">
      <c r="D13" t="s">
        <v>167</v>
      </c>
      <c r="J13" t="s">
        <v>167</v>
      </c>
      <c r="P13" t="s">
        <v>167</v>
      </c>
      <c r="V13" t="s">
        <v>167</v>
      </c>
      <c r="AI13" s="138"/>
    </row>
    <row r="14" spans="1:35">
      <c r="D14" s="111">
        <f>+E12-'Federal Funds Transactions'!Y5</f>
        <v>0</v>
      </c>
      <c r="E14" t="s">
        <v>176</v>
      </c>
      <c r="J14" s="111">
        <f>+K12-'Federal Funds Transactions'!AE5</f>
        <v>1932601.47951</v>
      </c>
      <c r="K14" t="s">
        <v>176</v>
      </c>
      <c r="P14" s="111">
        <f>+Q12-'Federal Funds Transactions'!AE5</f>
        <v>1846270.9589999998</v>
      </c>
      <c r="Q14" t="s">
        <v>176</v>
      </c>
      <c r="V14" s="111">
        <f>+W12-'Federal Funds Transactions'!AE5</f>
        <v>1864706.233</v>
      </c>
      <c r="W14" t="s">
        <v>176</v>
      </c>
    </row>
    <row r="23" spans="3:11">
      <c r="D23" s="138"/>
      <c r="J23" s="138"/>
    </row>
    <row r="24" spans="3:11">
      <c r="C24" s="184"/>
      <c r="E24" s="184"/>
      <c r="I24" s="184"/>
      <c r="K24" s="184"/>
    </row>
    <row r="26" spans="3:11">
      <c r="C26" s="184"/>
      <c r="D26" s="184"/>
      <c r="E26" s="184"/>
      <c r="I26" s="184"/>
      <c r="J26" s="184"/>
      <c r="K26" s="184"/>
    </row>
    <row r="27" spans="3:11">
      <c r="C27" s="184"/>
      <c r="I27" s="184"/>
    </row>
  </sheetData>
  <mergeCells count="18">
    <mergeCell ref="AG1:AI1"/>
    <mergeCell ref="AG12:AH12"/>
    <mergeCell ref="C1:E1"/>
    <mergeCell ref="C12:D12"/>
    <mergeCell ref="A1:B1"/>
    <mergeCell ref="Y1:Z1"/>
    <mergeCell ref="AA1:AC1"/>
    <mergeCell ref="AA12:AB12"/>
    <mergeCell ref="AE1:AF1"/>
    <mergeCell ref="S1:T1"/>
    <mergeCell ref="U1:W1"/>
    <mergeCell ref="U12:V12"/>
    <mergeCell ref="M1:N1"/>
    <mergeCell ref="O1:Q1"/>
    <mergeCell ref="O12:P12"/>
    <mergeCell ref="G1:H1"/>
    <mergeCell ref="I1:K1"/>
    <mergeCell ref="I12:J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2018-01-29T14:54:40Z</cp:lastPrinted>
  <dcterms:created xsi:type="dcterms:W3CDTF">2013-05-11T20:19:37Z</dcterms:created>
  <dcterms:modified xsi:type="dcterms:W3CDTF">2026-01-12T23:05:50Z</dcterms:modified>
</cp:coreProperties>
</file>