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tables/table3.xml" ContentType="application/vnd.openxmlformats-officedocument.spreadsheetml.table+xml"/>
  <Override PartName="/xl/queryTables/queryTable3.xml" ContentType="application/vnd.openxmlformats-officedocument.spreadsheetml.queryTable+xml"/>
  <Override PartName="/xl/tables/table4.xml" ContentType="application/vnd.openxmlformats-officedocument.spreadsheetml.table+xml"/>
  <Override PartName="/xl/queryTables/queryTable4.xml" ContentType="application/vnd.openxmlformats-officedocument.spreadsheetml.query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416"/>
  <workbookPr codeName="ThisWorkbook"/>
  <mc:AlternateContent xmlns:mc="http://schemas.openxmlformats.org/markup-compatibility/2006">
    <mc:Choice Requires="x15">
      <x15ac:absPath xmlns:x15ac="http://schemas.microsoft.com/office/spreadsheetml/2010/11/ac" url="\\E980TS02\Groups\FMS\RESOURCE\Fiscal Year Files\FY 2025\2025 Ledgers\2025 - 02 February\"/>
    </mc:Choice>
  </mc:AlternateContent>
  <xr:revisionPtr revIDLastSave="0" documentId="8_{D4B9E491-E8BA-42B4-8971-8E45F9306DEE}" xr6:coauthVersionLast="36" xr6:coauthVersionMax="36" xr10:uidLastSave="{00000000-0000-0000-0000-000000000000}"/>
  <bookViews>
    <workbookView xWindow="3855" yWindow="3840" windowWidth="19200" windowHeight="7875" xr2:uid="{00000000-000D-0000-FFFF-FFFF00000000}"/>
  </bookViews>
  <sheets>
    <sheet name="Federal Funds Transactions" sheetId="1" r:id="rId1"/>
    <sheet name="Regional Loans and Transfers" sheetId="3" r:id="rId2"/>
    <sheet name="Notes" sheetId="2" r:id="rId3"/>
    <sheet name="FY25 Apportionments" sheetId="4" r:id="rId4"/>
  </sheets>
  <definedNames>
    <definedName name="CAG_ApportLoans_qry" localSheetId="1">'Regional Loans and Transfers'!#REF!</definedName>
    <definedName name="CAG_ApportTransfers_qry_1" localSheetId="1">'Regional Loans and Transfers'!#REF!</definedName>
    <definedName name="CAG_Ledger_Authorized" localSheetId="0" hidden="1">'Federal Funds Transactions'!#REF!</definedName>
    <definedName name="CAG_Ledger_Authorized.qry_1" localSheetId="0" hidden="1">'Federal Funds Transactions'!#REF!</definedName>
    <definedName name="CAG_Ledger_Not_Authorized" localSheetId="0" hidden="1">'Federal Funds Transactions'!#REF!</definedName>
    <definedName name="CAG_Ledger_NotAuthorized.qry" localSheetId="0" hidden="1">'Federal Funds Transactions'!#REF!</definedName>
    <definedName name="CAG_OALoans_qry" localSheetId="1">'Regional Loans and Transfers'!#REF!</definedName>
    <definedName name="CAG_OATransfers_qry" localSheetId="1">'Regional Loans and Transfers'!#REF!</definedName>
    <definedName name="_xlnm.Print_Area" localSheetId="0">'Federal Funds Transactions'!$A$1:$T$42</definedName>
    <definedName name="Query_from_MS_Access_Database" localSheetId="0" hidden="1">'Federal Funds Transactions'!$A$15:$S$16</definedName>
    <definedName name="Query_from_MS_Access_Database" localSheetId="1" hidden="1">'Regional Loans and Transfers'!$A$11:$Q$90</definedName>
    <definedName name="Query_from_MS_Access_Database_1" localSheetId="0" hidden="1">'Federal Funds Transactions'!$A$27:$S$30</definedName>
    <definedName name="Query_from_MS_Access_Database_1" localSheetId="1" hidden="1">'Regional Loans and Transfers'!$A$93:$Q$173</definedName>
    <definedName name="WACOGLedgerAuthorized" localSheetId="0" hidden="1">'Federal Funds Transactions'!#REF!</definedName>
    <definedName name="WACOGqryLedgerApports" localSheetId="1" hidden="1">'Regional Loans and Transfers'!#REF!</definedName>
    <definedName name="WACOGqryLedgerOA" localSheetId="1" hidden="1">'Regional Loans and Transfers'!#REF!</definedName>
  </definedNames>
  <calcPr calcId="191029"/>
</workbook>
</file>

<file path=xl/calcChain.xml><?xml version="1.0" encoding="utf-8"?>
<calcChain xmlns="http://schemas.openxmlformats.org/spreadsheetml/2006/main">
  <c r="T16" i="1" l="1"/>
  <c r="T28" i="1"/>
  <c r="T29" i="1"/>
  <c r="T30" i="1"/>
  <c r="W4" i="4" l="1"/>
  <c r="W5" i="4"/>
  <c r="W6" i="4"/>
  <c r="W7" i="4"/>
  <c r="W3" i="4"/>
  <c r="V4" i="4"/>
  <c r="V5" i="4"/>
  <c r="V6" i="4"/>
  <c r="V7" i="4"/>
  <c r="V3" i="4"/>
  <c r="U11" i="1" l="1"/>
  <c r="U10" i="1"/>
  <c r="U9" i="1"/>
  <c r="U8" i="1"/>
  <c r="U7" i="1"/>
  <c r="U6" i="1"/>
  <c r="S11" i="1"/>
  <c r="R11" i="1"/>
  <c r="Q11" i="1"/>
  <c r="P11" i="1"/>
  <c r="O11" i="1"/>
  <c r="N11" i="1"/>
  <c r="M11" i="1"/>
  <c r="S10" i="1"/>
  <c r="R10" i="1"/>
  <c r="Q10" i="1"/>
  <c r="P10" i="1"/>
  <c r="O10" i="1"/>
  <c r="N10" i="1"/>
  <c r="M10" i="1"/>
  <c r="S9" i="1"/>
  <c r="R9" i="1"/>
  <c r="Q9" i="1"/>
  <c r="P9" i="1"/>
  <c r="O9" i="1"/>
  <c r="N9" i="1"/>
  <c r="M9" i="1"/>
  <c r="S8" i="1"/>
  <c r="R8" i="1"/>
  <c r="Q8" i="1"/>
  <c r="P8" i="1"/>
  <c r="O8" i="1"/>
  <c r="N8" i="1"/>
  <c r="M8" i="1"/>
  <c r="S7" i="1"/>
  <c r="R7" i="1"/>
  <c r="Q7" i="1"/>
  <c r="P7" i="1"/>
  <c r="O7" i="1"/>
  <c r="N7" i="1"/>
  <c r="M7" i="1"/>
  <c r="S6" i="1"/>
  <c r="R6" i="1"/>
  <c r="Q6" i="1"/>
  <c r="P6" i="1"/>
  <c r="O6" i="1"/>
  <c r="N6" i="1"/>
  <c r="M6" i="1"/>
  <c r="J8" i="4" l="1"/>
  <c r="K8" i="4" l="1"/>
  <c r="K9" i="4" s="1"/>
  <c r="K7" i="4"/>
  <c r="K6" i="4"/>
  <c r="K5" i="4"/>
  <c r="K4" i="4"/>
  <c r="K3" i="4"/>
  <c r="O5" i="1" l="1"/>
  <c r="P5" i="1"/>
  <c r="Q5" i="1"/>
  <c r="R5" i="1"/>
  <c r="S5" i="1"/>
  <c r="Q33" i="1"/>
  <c r="Q23" i="1"/>
  <c r="E12" i="2"/>
  <c r="D11" i="2"/>
  <c r="D13" i="2" s="1"/>
  <c r="E10" i="2"/>
  <c r="N40" i="1"/>
  <c r="O40" i="1"/>
  <c r="P40" i="1"/>
  <c r="Q40" i="1"/>
  <c r="R40" i="1"/>
  <c r="S40" i="1"/>
  <c r="M33" i="1"/>
  <c r="M23" i="1"/>
  <c r="V8" i="4"/>
  <c r="Q4" i="4"/>
  <c r="Q5" i="4"/>
  <c r="Q6" i="4"/>
  <c r="Q7" i="4"/>
  <c r="E4" i="4"/>
  <c r="E5" i="4"/>
  <c r="E6" i="4"/>
  <c r="E7" i="4"/>
  <c r="P8" i="4"/>
  <c r="Q3" i="4"/>
  <c r="D8" i="4"/>
  <c r="E8" i="4" s="1"/>
  <c r="E9" i="4" s="1"/>
  <c r="E3" i="4"/>
  <c r="M40" i="1"/>
  <c r="T33" i="1"/>
  <c r="N33" i="1"/>
  <c r="O33" i="1"/>
  <c r="P33" i="1"/>
  <c r="R33" i="1"/>
  <c r="S33" i="1"/>
  <c r="N23" i="1"/>
  <c r="O23" i="1"/>
  <c r="P23" i="1"/>
  <c r="R23" i="1"/>
  <c r="S23" i="1"/>
  <c r="T4" i="1"/>
  <c r="U40" i="1"/>
  <c r="B5" i="3"/>
  <c r="A7" i="3"/>
  <c r="A1" i="3"/>
  <c r="Q8" i="4" l="1"/>
  <c r="Q9" i="4" s="1"/>
  <c r="S35" i="1"/>
  <c r="O35" i="1"/>
  <c r="R35" i="1"/>
  <c r="O12" i="1"/>
  <c r="O24" i="1" s="1"/>
  <c r="O34" i="1" s="1"/>
  <c r="O39" i="1" s="1"/>
  <c r="O41" i="1" s="1"/>
  <c r="O42" i="1" s="1"/>
  <c r="Q35" i="1"/>
  <c r="M35" i="1"/>
  <c r="Q12" i="1"/>
  <c r="Q24" i="1" s="1"/>
  <c r="Q34" i="1" s="1"/>
  <c r="Q39" i="1" s="1"/>
  <c r="Q41" i="1" s="1"/>
  <c r="Q42" i="1" s="1"/>
  <c r="T23" i="1"/>
  <c r="T35" i="1" s="1"/>
  <c r="P35" i="1"/>
  <c r="R12" i="1"/>
  <c r="R24" i="1" s="1"/>
  <c r="R34" i="1" s="1"/>
  <c r="R39" i="1" s="1"/>
  <c r="R41" i="1" s="1"/>
  <c r="R42" i="1" s="1"/>
  <c r="T7" i="1"/>
  <c r="T40" i="1"/>
  <c r="E11" i="2"/>
  <c r="S12" i="1"/>
  <c r="S24" i="1" s="1"/>
  <c r="S34" i="1" s="1"/>
  <c r="S39" i="1" s="1"/>
  <c r="S41" i="1" s="1"/>
  <c r="S42" i="1" s="1"/>
  <c r="N35" i="1"/>
  <c r="T9" i="1"/>
  <c r="T11" i="1"/>
  <c r="M12" i="1"/>
  <c r="M24" i="1" s="1"/>
  <c r="M34" i="1" s="1"/>
  <c r="M39" i="1" s="1"/>
  <c r="T10" i="1"/>
  <c r="P12" i="1"/>
  <c r="P24" i="1" s="1"/>
  <c r="P34" i="1" s="1"/>
  <c r="P39" i="1" s="1"/>
  <c r="T8" i="1"/>
  <c r="N12" i="1"/>
  <c r="N24" i="1" s="1"/>
  <c r="N34" i="1" s="1"/>
  <c r="N39" i="1" s="1"/>
  <c r="N41" i="1" s="1"/>
  <c r="N42" i="1" s="1"/>
  <c r="T5" i="1"/>
  <c r="T6" i="1"/>
  <c r="W8" i="4" l="1"/>
  <c r="W9" i="4" s="1"/>
  <c r="U5" i="1"/>
  <c r="U12" i="1" s="1"/>
  <c r="P41" i="1"/>
  <c r="P42" i="1" s="1"/>
  <c r="T39" i="1"/>
  <c r="T41" i="1" s="1"/>
  <c r="T12" i="1"/>
  <c r="T24" i="1" s="1"/>
  <c r="T34" i="1" s="1"/>
  <c r="M41" i="1"/>
  <c r="M42" i="1" s="1"/>
  <c r="U28" i="1"/>
  <c r="U29" i="1" s="1"/>
  <c r="U30" i="1" s="1"/>
  <c r="U16" i="1"/>
  <c r="D11" i="4" l="1"/>
  <c r="T42" i="1"/>
  <c r="U42" i="1" s="1"/>
  <c r="U39" i="1" l="1"/>
  <c r="U41" i="1" s="1"/>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Query from MS Access Database" type="1" refreshedVersion="6" background="1" saveData="1">
    <dbPr connection="DSN=MS Access Database;DBQ=G:\FMS\RESOURCE\ACCESS\010614 PBPF\011614 PBPF front.accdb;DefaultDir=G:\FMS\RESOURCE\ACCESS\010614 PBPF;DriverId=25;FIL=MS Access;MaxBufferSize=2048;PageTimeout=5;" command="SELECT `08-WACOG LEDGER`.`ADOT#`, `08-WACOG LEDGER`.`TIP#`, `08-WACOG LEDGER`.Sponsor, `08-WACOG LEDGER`.`Action/15`, `08-WACOG LEDGER`.Location, `08-WACOG LEDGER`.RTE, `08-WACOG LEDGER`.SEC, `08-WACOG LEDGER`.SEQ, `08-WACOG LEDGER`.`PB Expected`, `08-WACOG LEDGER`.`PB Received`, `08-WACOG LEDGER`.`PF Transmitted`, `08-WACOG LEDGER`.`Finance Authorization`, `08-WACOG LEDGER`.`hurf exchange` as `HURF EX`, `08-WACOG LEDGER`.HSIP, `08-WACOG LEDGER`.SPR, `08-WACOG LEDGER`.`STP &lt;5`, `08-WACOG LEDGER`.`STP 5-200`,`08-WACOG LEDGER`.`STP 5-50`, `08-WACOG LEDGER`.`STP OTHER`_x000d__x000a_FROM `G:\FMS\RESOURCE\ACCESS\010614 PBPF\011614 PBPF front.accdb`.`08-WACOG LEDGER` `08-WACOG LEDGER`_x000d__x000a_WHERE (`08-WACOG LEDGER`.`ADOT#`&lt;&gt;'Trick') AND (`08-WACOG LEDGER`.`Finance Authorization`&gt;=#10/1/2024# AND `08-WACOG LEDGER`.`Finance Authorization`&lt;=#9/30/2025#)_x000d__x000a_ORDER BY `08-WACOG LEDGER`.`Finance Authorization`"/>
  </connection>
  <connection id="2" xr16:uid="{00000000-0015-0000-FFFF-FFFF01000000}" name="Query from MS Access Database1" type="1" refreshedVersion="6" background="1" saveData="1">
    <dbPr connection="DSN=MS Access Database;DBQ=G:\FMS\RESOURCE\ACCESS\010614 PBPF\011614 PBPF front.accdb;DefaultDir=G:\FMS\RESOURCE\ACCESS\010614 PBPF;DriverId=25;FIL=MS Access;MaxBufferSize=2048;PageTimeout=5;" command="SELECT `08-WACOGqryLedgerApportsCrosstab`.`Transaction Year`, `08-WACOGqryLedgerApportsCrosstab`.`Transaction Type`, `08-WACOGqryLedgerApportsCrosstab`.Number, `08-WACOGqryLedgerApportsCrosstab`.`From`, `08-WACOGqryLedgerApportsCrosstab`.To, `08-WACOGqryLedgerApportsCrosstab`.`Repayment Year`, `08-WACOGqryLedgerApportsCrosstab`.Project8, `08-WACOGqryLedgerApportsCrosstab`.Notes, `08-WACOGqryLedgerApportsCrosstab`.Total, `08-WACOGqryLedgerApportsCrosstab`.`HURF Exchange`, `08-WACOGqryLedgerApportsCrosstab`.HSIP, `08-WACOGqryLedgerApportsCrosstab`.SPR, `08-WACOGqryLedgerApportsCrosstab`.`STP &lt;5`, `08-WACOGqryLedgerApportsCrosstab`.`STP 5-2`, `08-WACOGqryLedgerApportsCrosstab`.`STP 5-50`,`08-WACOGqryLedgerApportsCrosstab`.`STP Flex`, `08-WACOGqryLedgerApportsCrosstab`.`TAP Flex`_x000d__x000a_FROM `G:\FMS\RESOURCE\ACCESS\010614 PBPF\011614 PBPF front.accdb`.`08-WACOGqryLedgerApportsCrosstab` `08-WACOGqryLedgerApportsCrosstab`_x000d__x000a_WHERE (`08-WACOGqryLedgerApportsCrosstab`.Total&lt;&gt;0)"/>
  </connection>
  <connection id="3" xr16:uid="{00000000-0015-0000-FFFF-FFFF02000000}" name="Query from MS Access Database2" type="1" refreshedVersion="6" background="1" saveData="1">
    <dbPr connection="DSN=MS Access Database;DBQ=G:\FMS\RESOURCE\ACCESS\010614 PBPF\011614 PBPF front.accdb;DefaultDir=G:\FMS\RESOURCE\ACCESS\010614 PBPF;DriverId=25;FIL=MS Access;MaxBufferSize=2048;PageTimeout=5;" command="SELECT `08-WACOGqryLedgerOACrosstab`.`Transaction Year`, `08-WACOGqryLedgerOACrosstab`.`Transaction Type`, `08-WACOGqryLedgerOACrosstab`.Number, `08-WACOGqryLedgerOACrosstab`.`From`, `08-WACOGqryLedgerOACrosstab`.To, `08-WACOGqryLedgerOACrosstab`.`Repayment Year`, `08-WACOGqryLedgerOACrosstab`.Project8, `08-WACOGqryLedgerOACrosstab`.Notes, `08-WACOGqryLedgerOACrosstab`.Total, `08-WACOGqryLedgerOACrosstab`.`HURF Exchange`, `08-WACOGqryLedgerOACrosstab`.HSIP, `08-WACOGqryLedgerOACrosstab`.SPR, `08-WACOGqryLedgerOACrosstab`.`STP &lt;5`, `08-WACOGqryLedgerOACrosstab`.`STP 5-2`, `08-WACOGqryLedgerOACrosstab`.`STP 5-50`, `08-WACOGqryLedgerOACrosstab`.`STP Flex`, `08-WACOGqryLedgerOACrosstab`.`TAP Flex`_x000d__x000a_FROM `G:\FMS\RESOURCE\ACCESS\010614 PBPF\011614 PBPF front.accdb`.`08-WACOGqryLedgerOACrosstab` `08-WACOGqryLedgerOACrosstab`_x000d__x000a_WHERE (`08-WACOGqryLedgerOACrosstab`.Total&lt;&gt;0)"/>
  </connection>
  <connection id="4" xr16:uid="{00000000-0015-0000-FFFF-FFFF03000000}" name="Query from MS Access Database3" type="1" refreshedVersion="6" background="1" saveData="1">
    <dbPr connection="DSN=MS Access Database;DBQ=G:\FMS\RESOURCE\ACCESS\010614 PBPF\011614 PBPF front.accdb;DefaultDir=G:\FMS\RESOURCE\ACCESS\010614 PBPF;DriverId=25;FIL=MS Access;MaxBufferSize=2048;PageTimeout=5;" command="SELECT `08-WACOG LEDGER`.`ADOT#`, `08-WACOG LEDGER`.`TIP#`, `08-WACOG LEDGER`.Sponsor, `08-WACOG LEDGER`.`Action/15`, `08-WACOG LEDGER`.Location, `08-WACOG LEDGER`.RTE, `08-WACOG LEDGER`.SEC, `08-WACOG LEDGER`.SEQ, `08-WACOG LEDGER`.`PB Expected`, `08-WACOG LEDGER`.`PB Received`, `08-WACOG LEDGER`.`PF Transmitted`, `08-WACOG LEDGER`.`Finance Authorization`, `08-WACOG LEDGER`.`hurf exchange` as `HURF EX`, `08-WACOG LEDGER`.HSIP, `08-WACOG LEDGER`.SPR, `08-WACOG LEDGER`.`STP &lt;5`, `08-WACOG LEDGER`.`STP 5-200`, `08-WACOG LEDGER`.`STP 5-50`, `08-WACOG LEDGER`.`STP OTHER`_x000d__x000a_FROM `G:\FMS\RESOURCE\ACCESS\010614 PBPF\011614 PBPF front.accdb`.`08-WACOG LEDGER` `08-WACOG LEDGER`_x000d__x000a_WHERE (`08-WACOG LEDGER`.`ADOT#` Not Like 'Trick') AND (`08-WACOG LEDGER`.`Finance Authorization` Is Null) AND ((`08-WACOG LEDGER`.`PB Expected`&gt;=#10/1/2024# and `PB Expected`&lt;=#9/30/2025#) OR (`08-WACOG LEDGER`.`PB Received`&gt;=#10/1/2024# and `PB Received`&lt;=#9/30/2025#) OR (`08-WACOG LEDGER`.`PF Transmitted`&gt;=#10/1/2024# and `PF Transmitted`&lt;=#9/30/2025#))_x000d__x000a_ORDER BY `08-WACOG LEDGER`.`ADOT#`"/>
  </connection>
</connections>
</file>

<file path=xl/sharedStrings.xml><?xml version="1.0" encoding="utf-8"?>
<sst xmlns="http://schemas.openxmlformats.org/spreadsheetml/2006/main" count="1520" uniqueCount="296">
  <si>
    <t>TIP#</t>
  </si>
  <si>
    <t>ADOT#</t>
  </si>
  <si>
    <t>Location</t>
  </si>
  <si>
    <t>Sponsor</t>
  </si>
  <si>
    <t>HSIP</t>
  </si>
  <si>
    <t>SPR</t>
  </si>
  <si>
    <t>STP other</t>
  </si>
  <si>
    <t>New Auth</t>
  </si>
  <si>
    <t>MPA</t>
  </si>
  <si>
    <t>FV MPA</t>
  </si>
  <si>
    <t>Total</t>
  </si>
  <si>
    <t>Description</t>
  </si>
  <si>
    <t>APPORTIONMENTS /1</t>
  </si>
  <si>
    <t>Number</t>
  </si>
  <si>
    <t>Details</t>
  </si>
  <si>
    <t>FFY OBLIGATION AUTHORITY /2</t>
  </si>
  <si>
    <t>Apportionments represent the amount of federal funding based on formula. Apportionments generally exceed obligation authority (OA), resulting in excess apportionments that cannot be obligated. Over the life of a multi-year federal transportation program authorization, apportionments may accumulate but cannot be utilized unless Congress approves a matching amount of OA. There is no guarantee Congress will  provide the OA necessary to fully utilize apportionments.</t>
  </si>
  <si>
    <t>OA is the amount of authorized apportionments which Congress allows states to obligated in an individual year. This is the amount which FHWA will reimburse.</t>
  </si>
  <si>
    <t>Unobligated OA may be used with any category of apportionments. An equal amount of each is required to obligate funds.</t>
  </si>
  <si>
    <t xml:space="preserve">Because federal regulations require adjustment to the amount authorized within 90 days of a change in costs, finance actions may be required on projects programmed in previous fiscal years. Depending on the type of federal funds involved, these actions may reduce or increase the region's apportionments and/or OA. </t>
  </si>
  <si>
    <t>New Authorization</t>
  </si>
  <si>
    <t>Award MPA</t>
  </si>
  <si>
    <t>Convert AC</t>
  </si>
  <si>
    <t>Other</t>
  </si>
  <si>
    <t>Modified Project Agreement</t>
  </si>
  <si>
    <t>Cancel</t>
  </si>
  <si>
    <t>Project Withdrawn</t>
  </si>
  <si>
    <t>AC Auth</t>
  </si>
  <si>
    <t>Modification (increase or decrease) due to bid award</t>
  </si>
  <si>
    <t>Conversion of advanced construction balances (MAG only)</t>
  </si>
  <si>
    <t>Modification (increase or decrease) required to complete the Final Voucher and fully close the project</t>
  </si>
  <si>
    <t>AC Authorization (MAG only)</t>
  </si>
  <si>
    <t>A transaction type not otherwise listed</t>
  </si>
  <si>
    <t xml:space="preserve">Action types: </t>
  </si>
  <si>
    <t>NOT YET AUTHORIZED</t>
  </si>
  <si>
    <t>"Repayments In" represent loan funds being repaid to the region by another entity. Repayments In increase apportionments and/or OA. See the Apportionment and OA Loan tables for transaction detail.</t>
  </si>
  <si>
    <t>"Loans In" represent funds received by the region from another entity which must be repaid. Loans In increase apportionments and/or OA. See the Apportionment and OA Loan tables for transaction detail.</t>
  </si>
  <si>
    <t>"Loans Out" represent funds being loaned to another entity and which will be repaid to the region based upon a scheduled agreed to in advance by both entities. Loans Out decrease apportionments and/or OA. See the Apportionment and OA Loan tables for transaction detail.</t>
  </si>
  <si>
    <t>"Repayments Out" represent funds which are being repaid to another entity. Repayments Out decrease apportionments and/or OA. See the Apportionment and OA Loan tables for transaction detail.</t>
  </si>
  <si>
    <t>"Transfers  In" represent funds received by the region from another entity which will not be repaid. See the Apportionment and OA Transfer tables for transaction detail.</t>
  </si>
  <si>
    <t>"Transfers  Out" represent funds given by the region to another entity which will not be repaid. See the Apportionment and OA Transfer tables for transaction detail.</t>
  </si>
  <si>
    <t>Transaction Year</t>
  </si>
  <si>
    <t>Transaction Type</t>
  </si>
  <si>
    <t>Repayment Year</t>
  </si>
  <si>
    <t>RTE</t>
  </si>
  <si>
    <t>SEC</t>
  </si>
  <si>
    <t>SEQ</t>
  </si>
  <si>
    <t>PB Expected</t>
  </si>
  <si>
    <t>PB Received</t>
  </si>
  <si>
    <t>PF Transmitted</t>
  </si>
  <si>
    <t>Finance Authorization</t>
  </si>
  <si>
    <t>STP OTHER</t>
  </si>
  <si>
    <t>EXPECTED DECLINING BALANCE OA</t>
  </si>
  <si>
    <t>TOTAL</t>
  </si>
  <si>
    <t>SPR /4</t>
  </si>
  <si>
    <t>APPORTIONMENTS</t>
  </si>
  <si>
    <t>OA</t>
  </si>
  <si>
    <t>HSIP/3</t>
  </si>
  <si>
    <t>AUTHORIZED FINANCE ACTIONS /14</t>
  </si>
  <si>
    <t>Processing Status /16</t>
  </si>
  <si>
    <t>Processing Status:</t>
  </si>
  <si>
    <t>Date on which the request is actually received by the Program Budget office</t>
  </si>
  <si>
    <t>Date on which the finance authorization request is expected to be received by the Program Budget office for processing</t>
  </si>
  <si>
    <t>Date on which the project financing is approved by FHWA or the CFO's office as applicable</t>
  </si>
  <si>
    <t>Date on which the request is sent to FHWA (federally funded projects)or the CFO's office (RARF or other non-federal funded projects) for authorization approval</t>
  </si>
  <si>
    <t>Loans In /7</t>
  </si>
  <si>
    <t>Loans Out /8</t>
  </si>
  <si>
    <t>Repayments In /9</t>
  </si>
  <si>
    <t>Repayments Out  /10</t>
  </si>
  <si>
    <t>Transfers In /11</t>
  </si>
  <si>
    <t>Transfers Out /12</t>
  </si>
  <si>
    <t>Remaining Apportionments</t>
  </si>
  <si>
    <t>Total Used</t>
  </si>
  <si>
    <t>LAPSING FUNDS /17</t>
  </si>
  <si>
    <t>CURRENT YEAR FUNDS</t>
  </si>
  <si>
    <t>APPORTIONMENT LOANS, REPAYMENTS AND TRANSFERS /see Notes 7 - 12</t>
  </si>
  <si>
    <t>Data as of:</t>
  </si>
  <si>
    <t xml:space="preserve">Federal Aid Regional Loans and Transfers Ledger
</t>
  </si>
  <si>
    <t>Action/15</t>
  </si>
  <si>
    <t>TOTAL OF AMOUNT</t>
  </si>
  <si>
    <r>
      <rPr>
        <b/>
        <sz val="11"/>
        <color rgb="FFFF0000"/>
        <rFont val="Arial Unicode MS"/>
        <family val="2"/>
      </rPr>
      <t xml:space="preserve">IMPORTANT! </t>
    </r>
    <r>
      <rPr>
        <sz val="11"/>
        <color theme="1"/>
        <rFont val="Arial Unicode MS"/>
        <family val="2"/>
      </rPr>
      <t>Please review the information in the Notes tab for further explanation of the data in this document.</t>
    </r>
  </si>
  <si>
    <t>From</t>
  </si>
  <si>
    <t>To</t>
  </si>
  <si>
    <t>Project8</t>
  </si>
  <si>
    <t>Notes</t>
  </si>
  <si>
    <t>DECLINING BALANCE OA</t>
  </si>
  <si>
    <t>Loan Out</t>
  </si>
  <si>
    <t>Repayment In</t>
  </si>
  <si>
    <t>ADOT</t>
  </si>
  <si>
    <t>2014</t>
  </si>
  <si>
    <t>2019</t>
  </si>
  <si>
    <t>SEAGO</t>
  </si>
  <si>
    <t>2016</t>
  </si>
  <si>
    <t>2015</t>
  </si>
  <si>
    <t>Current FFY
Apportionments /5</t>
  </si>
  <si>
    <t>Lapsing</t>
  </si>
  <si>
    <t>None</t>
  </si>
  <si>
    <t>2017</t>
  </si>
  <si>
    <t>2018</t>
  </si>
  <si>
    <t>STP &lt;5</t>
  </si>
  <si>
    <t>S</t>
  </si>
  <si>
    <t>Transfer Out</t>
  </si>
  <si>
    <t>STP 5-2</t>
  </si>
  <si>
    <r>
      <t xml:space="preserve">FFY Total Available 
</t>
    </r>
    <r>
      <rPr>
        <b/>
        <sz val="9"/>
        <color rgb="FFFF0000"/>
        <rFont val="Arial Unicode MS"/>
        <family val="2"/>
      </rPr>
      <t xml:space="preserve">*LAPSES ON 6/30* </t>
    </r>
    <r>
      <rPr>
        <sz val="9"/>
        <rFont val="Arial Unicode MS"/>
        <family val="2"/>
      </rPr>
      <t>/13</t>
    </r>
  </si>
  <si>
    <r>
      <t xml:space="preserve">Carry Forward
</t>
    </r>
    <r>
      <rPr>
        <sz val="9"/>
        <color rgb="FFFF0000"/>
        <rFont val="Arial Unicode MS"/>
        <family val="2"/>
      </rPr>
      <t>*</t>
    </r>
    <r>
      <rPr>
        <b/>
        <sz val="9"/>
        <color rgb="FFFF0000"/>
        <rFont val="Arial Unicode MS"/>
        <family val="2"/>
      </rPr>
      <t>LAPSES ON 6/30*</t>
    </r>
    <r>
      <rPr>
        <b/>
        <sz val="10"/>
        <rFont val="Calibri"/>
        <family val="2"/>
        <scheme val="minor"/>
      </rPr>
      <t/>
    </r>
  </si>
  <si>
    <t>Transfer In</t>
  </si>
  <si>
    <t>2013</t>
  </si>
  <si>
    <t>CAG</t>
  </si>
  <si>
    <t>SUNMPO</t>
  </si>
  <si>
    <t>WACOG</t>
  </si>
  <si>
    <t>NACOG</t>
  </si>
  <si>
    <t>2012</t>
  </si>
  <si>
    <t>NACOG005</t>
  </si>
  <si>
    <t>Western Arizona Council of Governments</t>
  </si>
  <si>
    <t>Loan In</t>
  </si>
  <si>
    <t>2012 STP loan from WACOG</t>
  </si>
  <si>
    <t>WACOG003</t>
  </si>
  <si>
    <t>MM0 14D-103</t>
  </si>
  <si>
    <t>HSIP loan to ADOT</t>
  </si>
  <si>
    <t>WACOG004</t>
  </si>
  <si>
    <t>HSIP TRANSFER FROM WACAG TO ADOT</t>
  </si>
  <si>
    <t>WACOG001</t>
  </si>
  <si>
    <t>plug -HSIP loan to ADOT</t>
  </si>
  <si>
    <t>WACOG-LP01</t>
  </si>
  <si>
    <t>WACOG LAPSING FUNDS - FFY14</t>
  </si>
  <si>
    <t>SEAGO14-L001</t>
  </si>
  <si>
    <t>SEAGO LOAN TO WACOG 2014</t>
  </si>
  <si>
    <t>WACOG14-L002</t>
  </si>
  <si>
    <t>WACOG STP LOAN TO ADOT 03/31/14</t>
  </si>
  <si>
    <t>WACOG14-L003</t>
  </si>
  <si>
    <t>SS994 - OATMAN RD</t>
  </si>
  <si>
    <t>WACOG STP LOAN TO ADOT 04/11/14</t>
  </si>
  <si>
    <t>WACOG14-L004</t>
  </si>
  <si>
    <t>SCMPO SAFTEY PLAN</t>
  </si>
  <si>
    <t>WACOG HSIP LOAN TO SUNPMO</t>
  </si>
  <si>
    <t>WACOG14-L005</t>
  </si>
  <si>
    <t>SS994</t>
  </si>
  <si>
    <t>WACOG STP LOAN TO ADOT</t>
  </si>
  <si>
    <t>plug-HSIP loan repayment from ADOT</t>
  </si>
  <si>
    <t>HSIP loan repayment from ADOT</t>
  </si>
  <si>
    <t>LHMPO1401</t>
  </si>
  <si>
    <t>LHMPO</t>
  </si>
  <si>
    <t>HSIP TRANSFER FROM LHMPO TO WACOG</t>
  </si>
  <si>
    <t>LHMPO1402</t>
  </si>
  <si>
    <t>LHMPO LOAN TO WACOG FY 14</t>
  </si>
  <si>
    <t>CAG-15L1</t>
  </si>
  <si>
    <t>CAG HSIP Loan to WACOG</t>
  </si>
  <si>
    <t>LHMPO-15L1</t>
  </si>
  <si>
    <t>LHMPO HSIP Loan to WACOG</t>
  </si>
  <si>
    <t>WACOG002</t>
  </si>
  <si>
    <t>MMO 14C-103</t>
  </si>
  <si>
    <t>WACOG14-L001</t>
  </si>
  <si>
    <t>DAVIS RD PROJECT</t>
  </si>
  <si>
    <t>WACOG LOAN TO SEAGO FY 15</t>
  </si>
  <si>
    <t>WACOG15-L001</t>
  </si>
  <si>
    <t>WACOG STSP</t>
  </si>
  <si>
    <t>WACOG HSIP Loan to ADOT</t>
  </si>
  <si>
    <t>Repayment Out</t>
  </si>
  <si>
    <t>Repay 2012 STP loan to NACOG</t>
  </si>
  <si>
    <t>LHMPO LOAN TO WACOG FY 15</t>
  </si>
  <si>
    <t>WACOG16-L001</t>
  </si>
  <si>
    <t>2017/18</t>
  </si>
  <si>
    <t>ADOT HSIP Loan to WACOG</t>
  </si>
  <si>
    <t>WACOG16-L002</t>
  </si>
  <si>
    <t>SS99401C</t>
  </si>
  <si>
    <t>ADOT STP Loan to WACOG</t>
  </si>
  <si>
    <t>WACOGADOT-16L1</t>
  </si>
  <si>
    <t>WACOG HSIP/STP Loan to ADOT</t>
  </si>
  <si>
    <t>Loan repayment for 2015 HSIP loan</t>
  </si>
  <si>
    <t>WACOG STP LOAN TO ADOT 04/11/14 REPAYMENT</t>
  </si>
  <si>
    <t>WACOG HSIP LOAN TO SUNPMO REPAYMENT</t>
  </si>
  <si>
    <t>LHMPO LOAN TO WACOG FY 16</t>
  </si>
  <si>
    <t>WACOGADOT-17L1</t>
  </si>
  <si>
    <t>CLC 101C</t>
  </si>
  <si>
    <t>WACOG STP Loan to ADOT</t>
  </si>
  <si>
    <t>MMO-H52 C</t>
  </si>
  <si>
    <t>QTZ13-105 C</t>
  </si>
  <si>
    <t>LHMPO LOAN TO WACOG FY 17</t>
  </si>
  <si>
    <t>2020</t>
  </si>
  <si>
    <t>LHMPO LOAN TO WACOG FY 18</t>
  </si>
  <si>
    <t>LHMPO LOAN TO WACOG FY 19</t>
  </si>
  <si>
    <t>LHMPO LOAN TO WACOG FY 20</t>
  </si>
  <si>
    <t>WACOG-T001</t>
  </si>
  <si>
    <t>H4511</t>
  </si>
  <si>
    <t>WACOG TRANSFER TO ADOT</t>
  </si>
  <si>
    <t>WAC</t>
  </si>
  <si>
    <t>STP Flex</t>
  </si>
  <si>
    <t>TAP Flex</t>
  </si>
  <si>
    <t>HURF Exchange</t>
  </si>
  <si>
    <t>HURF EX</t>
  </si>
  <si>
    <t>STP 5-200</t>
  </si>
  <si>
    <t>WACOGADOT-18L1</t>
  </si>
  <si>
    <t>Swanson Ave</t>
  </si>
  <si>
    <t>WACOG HSIP Loan/STP Repay to ADOT</t>
  </si>
  <si>
    <t>T009401C</t>
  </si>
  <si>
    <t>ADOTWACOG-19T1</t>
  </si>
  <si>
    <t>ADOT HURF EX Transfer to WACOG</t>
  </si>
  <si>
    <t>WACOG STP 5-2 Transfer to ADOT</t>
  </si>
  <si>
    <t>SZ02701C</t>
  </si>
  <si>
    <t>WACOG STBGP Loan to SEAGO</t>
  </si>
  <si>
    <t>WACOGADOT-19L1</t>
  </si>
  <si>
    <t>PIERCE FERRY RD</t>
  </si>
  <si>
    <t>WACOG STBGP Loan to ADOT</t>
  </si>
  <si>
    <t>WACOGSEAGO-19L1</t>
  </si>
  <si>
    <t>LHMPOADOT-20L2</t>
  </si>
  <si>
    <t>2021</t>
  </si>
  <si>
    <t>Future HSIP</t>
  </si>
  <si>
    <t>Future STBGP</t>
  </si>
  <si>
    <t>WACOGADOT-21L1</t>
  </si>
  <si>
    <t>2022</t>
  </si>
  <si>
    <t>2023</t>
  </si>
  <si>
    <t>WACOG HSIP Loan to ADOTWACOG STBGP Loan to ADOT</t>
  </si>
  <si>
    <t>OA Ratio (OA/apportionments) /1</t>
  </si>
  <si>
    <t>Fund Type</t>
  </si>
  <si>
    <t xml:space="preserve">Program Category </t>
  </si>
  <si>
    <t>Formula</t>
  </si>
  <si>
    <t xml:space="preserve">SPR (Planning) </t>
  </si>
  <si>
    <t xml:space="preserve">STP &lt; 5k </t>
  </si>
  <si>
    <t>Total Formula Apportionments</t>
  </si>
  <si>
    <t>Total Formula OA (@94.9%)</t>
  </si>
  <si>
    <t>Statutory</t>
  </si>
  <si>
    <t>Disc</t>
  </si>
  <si>
    <t>WACOG OA</t>
  </si>
  <si>
    <t>check</t>
  </si>
  <si>
    <t>rounding</t>
  </si>
  <si>
    <t>WACOG Change</t>
  </si>
  <si>
    <t>HSIP is now managed as a competitive program by ADOT.   However,  HSIP funding released off of  projects that were funded from the ledger will be released back onto the ledger.</t>
  </si>
  <si>
    <t>WACOG FFY22</t>
  </si>
  <si>
    <t>WACOGADOT-22L1</t>
  </si>
  <si>
    <t>STP 5-50</t>
  </si>
  <si>
    <t>Column1</t>
  </si>
  <si>
    <t>Column2</t>
  </si>
  <si>
    <t xml:space="preserve">STP 5K-200k </t>
  </si>
  <si>
    <t>STP 5K-50K</t>
  </si>
  <si>
    <t>STP 50K-200K</t>
  </si>
  <si>
    <r>
      <rPr>
        <b/>
        <sz val="11"/>
        <color rgb="FFFF0000"/>
        <rFont val="Arial Unicode MS"/>
        <family val="2"/>
      </rPr>
      <t xml:space="preserve"> </t>
    </r>
    <r>
      <rPr>
        <sz val="11"/>
        <color theme="1"/>
        <rFont val="Arial Unicode MS"/>
        <family val="2"/>
      </rPr>
      <t>Data as of:</t>
    </r>
  </si>
  <si>
    <t>Loan HSIP for use of future projects</t>
  </si>
  <si>
    <t>Loan STBG for use of future projects</t>
  </si>
  <si>
    <t>PWG2401P</t>
  </si>
  <si>
    <t>WACOG FY2024 / FY2025 WP - SPR</t>
  </si>
  <si>
    <t>024</t>
  </si>
  <si>
    <t>TBD</t>
  </si>
  <si>
    <t>T039801C</t>
  </si>
  <si>
    <t>SPR (State Planning &amp; Research) apportionment availability for approved work program</t>
  </si>
  <si>
    <t>OA LOANS, REPAYMENTS AND TRANSFERS /see Notes 7 - 12</t>
  </si>
  <si>
    <t>WACOGADOT-22L2</t>
  </si>
  <si>
    <t>City of Kingman Eastern St.</t>
  </si>
  <si>
    <t>WACOGADOT-22L3</t>
  </si>
  <si>
    <t>Total Expected</t>
  </si>
  <si>
    <t>ADOTWACOG-23T1</t>
  </si>
  <si>
    <t>WACOG STP 5-50 Transfer to ADOT</t>
  </si>
  <si>
    <t>Please direct questions regarding federal funding ledgers to ADOT Financial Management Services at</t>
  </si>
  <si>
    <t xml:space="preserve"> resourceadmin@azdot.gov.</t>
  </si>
  <si>
    <t>All OA and apportionments are subject to lapse annually on June 30th.</t>
  </si>
  <si>
    <t>2024</t>
  </si>
  <si>
    <t>2025</t>
  </si>
  <si>
    <t>N/A</t>
  </si>
  <si>
    <t>WACOG FFY24</t>
  </si>
  <si>
    <t>Federal Fiscal Year 2025</t>
  </si>
  <si>
    <t>Planned Lapsing - 06/30/25</t>
  </si>
  <si>
    <t>Lapsed - 07/01/25</t>
  </si>
  <si>
    <t>Planned Lapsing - 09/30/25</t>
  </si>
  <si>
    <t>Carry Forward to FFY 26</t>
  </si>
  <si>
    <t>PWG2601P</t>
  </si>
  <si>
    <t>WACOG FY2026 / FY2027 WP - SPR</t>
  </si>
  <si>
    <t>026</t>
  </si>
  <si>
    <t>RLTAP30P</t>
  </si>
  <si>
    <t>Various</t>
  </si>
  <si>
    <t>LTAP - FFY25</t>
  </si>
  <si>
    <t>999</t>
  </si>
  <si>
    <t>WACOGADOT-24L1</t>
  </si>
  <si>
    <t>Excess Funding Due to Project Closeouts</t>
  </si>
  <si>
    <t>WACOG STP &lt;5K Loan to ADOT</t>
  </si>
  <si>
    <t>State FY 25 Approved work program amount</t>
  </si>
  <si>
    <t>State FY 25 amount authorized prior to 09/30/24 or Lapsed funding</t>
  </si>
  <si>
    <t>State FY 25 amount available for authorization 10/01/24 - 06/30/25</t>
  </si>
  <si>
    <t>State FY 26 amount avaiilable for authorization 07/1/25 - 09/30/25 (request must be submitted by 09/01/25)</t>
  </si>
  <si>
    <t>Total SPR apportionments for Federal Fiscal Year 25 (as shown on ledger)</t>
  </si>
  <si>
    <t>SFY26 Work Program Estimates</t>
  </si>
  <si>
    <t>The following SFY26 Work Program Estimates are shown on the ledger. These are only estimates for illustrative purposes.</t>
  </si>
  <si>
    <t>SPR: $125,000</t>
  </si>
  <si>
    <t xml:space="preserve"> Please contact ADOT Financial Management Services to coordinate this exchange.  If HSIP funds will be programmed on a project, please be advised that an </t>
  </si>
  <si>
    <t>eligibility letter must be obtained from ADOT's Traffic Safety Group prior to authorization.</t>
  </si>
  <si>
    <t>The FFY 25 OA limitation ratio for the State is 83.7%.  The rate for calculations in FY 2025 for the ledgers will be 0.949.  This rate is subject to change in future fiscal years.</t>
  </si>
  <si>
    <t>PWG2403P</t>
  </si>
  <si>
    <t>WACOG24-102 / WACOG25-101</t>
  </si>
  <si>
    <t>WACOG FY2024 / FY2025 WP - STBGP</t>
  </si>
  <si>
    <t>T</t>
  </si>
  <si>
    <t xml:space="preserve">1. Any HSIP apportionments that become available on the ledger as a result of a project close out or other reasons, are eligible to be exchanged for STBG apportionments. </t>
  </si>
  <si>
    <t>FOOTNOTES</t>
  </si>
  <si>
    <t xml:space="preserve">Federal Aid Transaction Ledger
</t>
  </si>
  <si>
    <t>2. Slight adjustments to NACOG, WACOG, and Bullhead City MPO (BHCMPO) populations were made in January 2024. This adjustment included the reallocation of Needles' population</t>
  </si>
  <si>
    <t xml:space="preserve">(1,986 individuals) and 1,163 of WACOG's rural population to BHCMPO. Prior to the correction, WACOG's 5-50K Population was 54,080, and WACOG's &lt;5K population </t>
  </si>
  <si>
    <t>was 53,520. After the adjustment, WACOG's 5-50K Population was 52,094, and WACOG's &lt;5K population was 52,357. As a result, WACOG's STBG 5-50K apportionments decreased</t>
  </si>
  <si>
    <t>by $14,602.00, and WACOG's STBG &lt;5K apportionments decreased by $6,935.00 compared to the initial draft FFY25 ledger.</t>
  </si>
  <si>
    <t>WACOG FFY25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</si>
</sst>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4">
    <numFmt numFmtId="8" formatCode="&quot;$&quot;#,##0.00_);[Red]\(&quot;$&quot;#,##0.00\)"/>
    <numFmt numFmtId="44" formatCode="_(&quot;$&quot;* #,##0.00_);_(&quot;$&quot;* \(#,##0.00\);_(&quot;$&quot;* &quot;-&quot;??_);_(@_)"/>
    <numFmt numFmtId="43" formatCode="_(* #,##0.00_);_(* \(#,##0.00\);_(* &quot;-&quot;??_);_(@_)"/>
    <numFmt numFmtId="164" formatCode="mm/dd/yy;@"/>
  </numFmts>
  <fonts count="47" x14ac:knownFonts="1">
    <font>
      <sz val="11"/>
      <color theme="1"/>
      <name val="Calibri"/>
      <family val="2"/>
      <scheme val="minor"/>
    </font>
    <font>
      <sz val="11"/>
      <color theme="1"/>
      <name val="Calibri"/>
      <family val="2"/>
      <scheme val="minor"/>
    </font>
    <font>
      <b/>
      <sz val="11"/>
      <color theme="1"/>
      <name val="Calibri"/>
      <family val="2"/>
      <scheme val="minor"/>
    </font>
    <font>
      <sz val="11"/>
      <name val="Calibri"/>
      <family val="2"/>
      <scheme val="minor"/>
    </font>
    <font>
      <b/>
      <sz val="12"/>
      <name val="Calibri"/>
      <family val="2"/>
      <scheme val="minor"/>
    </font>
    <font>
      <b/>
      <sz val="14"/>
      <color theme="1"/>
      <name val="Calibri"/>
      <family val="2"/>
      <scheme val="minor"/>
    </font>
    <font>
      <sz val="10"/>
      <color indexed="8"/>
      <name val="Arial"/>
      <family val="2"/>
    </font>
    <font>
      <sz val="11"/>
      <color indexed="8"/>
      <name val="Calibri"/>
      <family val="2"/>
    </font>
    <font>
      <b/>
      <sz val="10"/>
      <name val="Calibri"/>
      <family val="2"/>
      <scheme val="minor"/>
    </font>
    <font>
      <b/>
      <sz val="11"/>
      <color indexed="8"/>
      <name val="Calibri"/>
      <family val="2"/>
    </font>
    <font>
      <sz val="11"/>
      <color theme="1"/>
      <name val="Calibri"/>
      <family val="2"/>
      <scheme val="minor"/>
    </font>
    <font>
      <sz val="11"/>
      <color theme="1"/>
      <name val="Arial Unicode MS"/>
      <family val="2"/>
    </font>
    <font>
      <b/>
      <sz val="16"/>
      <color rgb="FFFF0000"/>
      <name val="Arial Unicode MS"/>
      <family val="2"/>
    </font>
    <font>
      <b/>
      <sz val="11"/>
      <color theme="1"/>
      <name val="Arial Unicode MS"/>
      <family val="2"/>
    </font>
    <font>
      <b/>
      <sz val="10"/>
      <color theme="0"/>
      <name val="Arial Unicode MS"/>
      <family val="2"/>
    </font>
    <font>
      <b/>
      <sz val="9"/>
      <color theme="0"/>
      <name val="Arial Unicode MS"/>
      <family val="2"/>
    </font>
    <font>
      <b/>
      <sz val="9"/>
      <name val="Arial Unicode MS"/>
      <family val="2"/>
    </font>
    <font>
      <sz val="9"/>
      <color theme="1"/>
      <name val="Arial Unicode MS"/>
      <family val="2"/>
    </font>
    <font>
      <sz val="9"/>
      <color rgb="FFFF0000"/>
      <name val="Arial Unicode MS"/>
      <family val="2"/>
    </font>
    <font>
      <b/>
      <sz val="9"/>
      <color rgb="FFFF0000"/>
      <name val="Arial Unicode MS"/>
      <family val="2"/>
    </font>
    <font>
      <b/>
      <sz val="10"/>
      <color theme="1"/>
      <name val="Arial Unicode MS"/>
      <family val="2"/>
    </font>
    <font>
      <sz val="10"/>
      <color theme="1"/>
      <name val="Arial Unicode MS"/>
      <family val="2"/>
    </font>
    <font>
      <b/>
      <sz val="11"/>
      <color rgb="FFFF0000"/>
      <name val="Arial Unicode MS"/>
      <family val="2"/>
    </font>
    <font>
      <b/>
      <sz val="9"/>
      <color theme="1"/>
      <name val="Arial Unicode MS"/>
      <family val="2"/>
    </font>
    <font>
      <sz val="9"/>
      <name val="Arial Unicode MS"/>
      <family val="2"/>
    </font>
    <font>
      <b/>
      <sz val="12"/>
      <name val="Arial Unicode MS"/>
      <family val="2"/>
    </font>
    <font>
      <b/>
      <sz val="10"/>
      <name val="Arial Unicode MS"/>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9"/>
      <name val="Arial"/>
      <family val="2"/>
    </font>
    <font>
      <b/>
      <sz val="9"/>
      <name val="Arial"/>
      <family val="2"/>
    </font>
    <font>
      <sz val="10"/>
      <name val="Arial"/>
      <family val="2"/>
    </font>
    <font>
      <sz val="12"/>
      <name val="Times New Roman"/>
      <family val="1"/>
    </font>
    <font>
      <sz val="8"/>
      <name val="Arial"/>
      <family val="2"/>
    </font>
    <font>
      <sz val="10"/>
      <color rgb="FF000000"/>
      <name val="Arial"/>
      <family val="2"/>
    </font>
    <font>
      <sz val="11"/>
      <color theme="1"/>
      <name val="Calibri"/>
      <family val="2"/>
      <scheme val="minor"/>
    </font>
    <font>
      <sz val="11"/>
      <color rgb="FFFF0000"/>
      <name val="Arial Unicode MS"/>
      <family val="2"/>
    </font>
    <font>
      <sz val="11"/>
      <color theme="1"/>
      <name val="Calibri"/>
      <family val="2"/>
      <scheme val="minor"/>
    </font>
    <font>
      <b/>
      <u/>
      <sz val="12"/>
      <name val="Arial Unicode MS"/>
      <family val="2"/>
    </font>
  </fonts>
  <fills count="8">
    <fill>
      <patternFill patternType="none"/>
    </fill>
    <fill>
      <patternFill patternType="gray125"/>
    </fill>
    <fill>
      <patternFill patternType="solid">
        <fgColor rgb="FFFFFF00"/>
        <bgColor indexed="64"/>
      </patternFill>
    </fill>
    <fill>
      <patternFill patternType="solid">
        <fgColor theme="5" tint="0.79998168889431442"/>
        <bgColor indexed="64"/>
      </patternFill>
    </fill>
    <fill>
      <patternFill patternType="solid">
        <fgColor theme="4" tint="0.39994506668294322"/>
        <bgColor indexed="64"/>
      </patternFill>
    </fill>
    <fill>
      <patternFill patternType="solid">
        <fgColor theme="4" tint="0.39994506668294322"/>
        <bgColor theme="8"/>
      </patternFill>
    </fill>
    <fill>
      <patternFill patternType="solid">
        <fgColor theme="0"/>
        <bgColor indexed="64"/>
      </patternFill>
    </fill>
    <fill>
      <patternFill patternType="solid">
        <fgColor rgb="FFACEAAC"/>
        <bgColor indexed="64"/>
      </patternFill>
    </fill>
  </fills>
  <borders count="3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top/>
      <bottom style="thin">
        <color indexed="64"/>
      </bottom>
      <diagonal/>
    </border>
    <border>
      <left/>
      <right/>
      <top style="thin">
        <color indexed="64"/>
      </top>
      <bottom/>
      <diagonal/>
    </border>
    <border>
      <left/>
      <right style="thin">
        <color indexed="64"/>
      </right>
      <top/>
      <bottom/>
      <diagonal/>
    </border>
    <border>
      <left style="thin">
        <color indexed="64"/>
      </left>
      <right style="thin">
        <color indexed="64"/>
      </right>
      <top/>
      <bottom/>
      <diagonal/>
    </border>
    <border>
      <left style="thin">
        <color auto="1"/>
      </left>
      <right style="thin">
        <color indexed="64"/>
      </right>
      <top style="medium">
        <color indexed="64"/>
      </top>
      <bottom style="thin">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thin">
        <color indexed="64"/>
      </top>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top/>
      <bottom/>
      <diagonal/>
    </border>
    <border>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style="thin">
        <color auto="1"/>
      </left>
      <right style="medium">
        <color indexed="64"/>
      </right>
      <top style="medium">
        <color indexed="64"/>
      </top>
      <bottom style="thin">
        <color auto="1"/>
      </bottom>
      <diagonal/>
    </border>
    <border>
      <left/>
      <right style="medium">
        <color indexed="64"/>
      </right>
      <top style="medium">
        <color indexed="64"/>
      </top>
      <bottom/>
      <diagonal/>
    </border>
    <border>
      <left style="thin">
        <color auto="1"/>
      </left>
      <right/>
      <top style="medium">
        <color indexed="64"/>
      </top>
      <bottom style="thin">
        <color indexed="64"/>
      </bottom>
      <diagonal/>
    </border>
    <border>
      <left style="thin">
        <color indexed="64"/>
      </left>
      <right style="medium">
        <color indexed="64"/>
      </right>
      <top style="thin">
        <color indexed="64"/>
      </top>
      <bottom/>
      <diagonal/>
    </border>
  </borders>
  <cellStyleXfs count="45">
    <xf numFmtId="0" fontId="0" fillId="0" borderId="0"/>
    <xf numFmtId="44" fontId="1" fillId="0" borderId="0" applyFont="0" applyFill="0" applyBorder="0" applyAlignment="0" applyProtection="0"/>
    <xf numFmtId="0" fontId="6" fillId="0" borderId="0"/>
    <xf numFmtId="43" fontId="1" fillId="0" borderId="0" applyFont="0" applyFill="0" applyBorder="0" applyAlignment="0" applyProtection="0"/>
    <xf numFmtId="9" fontId="1" fillId="0" borderId="0" applyFont="0" applyFill="0" applyBorder="0" applyAlignment="0" applyProtection="0"/>
    <xf numFmtId="0" fontId="39" fillId="0" borderId="0"/>
    <xf numFmtId="0" fontId="39" fillId="0" borderId="0"/>
    <xf numFmtId="0" fontId="40" fillId="0" borderId="0"/>
    <xf numFmtId="0" fontId="41" fillId="0" borderId="0"/>
    <xf numFmtId="43" fontId="4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44" fontId="39" fillId="0" borderId="0" applyFont="0" applyFill="0" applyBorder="0" applyAlignment="0" applyProtection="0"/>
    <xf numFmtId="0" fontId="42" fillId="0" borderId="0"/>
    <xf numFmtId="0" fontId="39" fillId="0" borderId="0"/>
    <xf numFmtId="0" fontId="42" fillId="0" borderId="0"/>
    <xf numFmtId="0" fontId="39" fillId="0" borderId="0"/>
    <xf numFmtId="0" fontId="42" fillId="0" borderId="0"/>
    <xf numFmtId="0" fontId="42" fillId="0" borderId="0"/>
    <xf numFmtId="0" fontId="42" fillId="0" borderId="0"/>
    <xf numFmtId="0" fontId="42" fillId="0" borderId="0"/>
    <xf numFmtId="0" fontId="42" fillId="0" borderId="0"/>
    <xf numFmtId="0" fontId="42" fillId="0" borderId="0"/>
    <xf numFmtId="0" fontId="39"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1" fillId="0" borderId="0"/>
    <xf numFmtId="0" fontId="42" fillId="0" borderId="0"/>
    <xf numFmtId="0" fontId="39" fillId="0" borderId="0"/>
    <xf numFmtId="0" fontId="42" fillId="0" borderId="0"/>
    <xf numFmtId="0" fontId="39" fillId="0" borderId="0"/>
    <xf numFmtId="0" fontId="42" fillId="0" borderId="0"/>
    <xf numFmtId="0" fontId="42" fillId="0" borderId="0"/>
    <xf numFmtId="0" fontId="39" fillId="0" borderId="0"/>
    <xf numFmtId="0" fontId="42" fillId="0" borderId="0"/>
    <xf numFmtId="9" fontId="1" fillId="0" borderId="0" applyFont="0" applyFill="0" applyBorder="0" applyAlignment="0" applyProtection="0"/>
    <xf numFmtId="9" fontId="39" fillId="0" borderId="0" applyFont="0" applyFill="0" applyBorder="0" applyAlignment="0" applyProtection="0"/>
  </cellStyleXfs>
  <cellXfs count="255">
    <xf numFmtId="0" fontId="0" fillId="0" borderId="0" xfId="0"/>
    <xf numFmtId="0" fontId="0" fillId="0" borderId="0" xfId="0" applyAlignment="1">
      <alignment horizontal="center" vertical="top"/>
    </xf>
    <xf numFmtId="0" fontId="0" fillId="0" borderId="0" xfId="0" applyAlignment="1">
      <alignment horizontal="left" indent="2"/>
    </xf>
    <xf numFmtId="0" fontId="0" fillId="0" borderId="0" xfId="0" applyAlignment="1">
      <alignment horizontal="left" vertical="top" wrapText="1"/>
    </xf>
    <xf numFmtId="0" fontId="2" fillId="0" borderId="0" xfId="0" applyFont="1" applyAlignment="1">
      <alignment horizontal="center" vertical="top"/>
    </xf>
    <xf numFmtId="0" fontId="7" fillId="0" borderId="0" xfId="2" applyFont="1" applyFill="1" applyBorder="1" applyAlignment="1">
      <alignment vertical="top" wrapText="1"/>
    </xf>
    <xf numFmtId="0" fontId="7" fillId="0" borderId="0" xfId="2" applyFont="1" applyFill="1" applyBorder="1" applyAlignment="1">
      <alignment horizontal="left" vertical="top" wrapText="1"/>
    </xf>
    <xf numFmtId="0" fontId="0" fillId="0" borderId="0" xfId="0" applyAlignment="1">
      <alignment horizontal="left" vertical="top" wrapText="1"/>
    </xf>
    <xf numFmtId="0" fontId="2" fillId="0" borderId="0" xfId="0" applyFont="1" applyAlignment="1">
      <alignment vertical="top" wrapText="1"/>
    </xf>
    <xf numFmtId="0" fontId="0" fillId="0" borderId="0" xfId="0" applyBorder="1"/>
    <xf numFmtId="0" fontId="0" fillId="0" borderId="0" xfId="0" applyAlignment="1">
      <alignment horizontal="left" vertical="top" wrapText="1"/>
    </xf>
    <xf numFmtId="8" fontId="0" fillId="0" borderId="11" xfId="1" applyNumberFormat="1" applyFont="1" applyBorder="1" applyAlignment="1">
      <alignment vertical="top" wrapText="1"/>
    </xf>
    <xf numFmtId="8" fontId="0" fillId="0" borderId="0" xfId="1" applyNumberFormat="1" applyFont="1" applyBorder="1" applyAlignment="1">
      <alignment vertical="top" wrapText="1"/>
    </xf>
    <xf numFmtId="8" fontId="2" fillId="3" borderId="0" xfId="1" applyNumberFormat="1" applyFont="1" applyFill="1" applyBorder="1" applyAlignment="1">
      <alignment vertical="top" wrapText="1"/>
    </xf>
    <xf numFmtId="8" fontId="0" fillId="3" borderId="0" xfId="1" applyNumberFormat="1" applyFont="1" applyFill="1" applyBorder="1" applyAlignment="1">
      <alignment vertical="top" wrapText="1"/>
    </xf>
    <xf numFmtId="8" fontId="0" fillId="3" borderId="0" xfId="1" applyNumberFormat="1" applyFont="1" applyFill="1" applyAlignment="1">
      <alignment vertical="top" wrapText="1"/>
    </xf>
    <xf numFmtId="0" fontId="7" fillId="3" borderId="0" xfId="2" applyFont="1" applyFill="1" applyBorder="1" applyAlignment="1">
      <alignment vertical="top" wrapText="1"/>
    </xf>
    <xf numFmtId="0" fontId="0" fillId="0" borderId="0" xfId="0"/>
    <xf numFmtId="0" fontId="0" fillId="0" borderId="0" xfId="0" applyAlignment="1">
      <alignment horizontal="center" vertical="top"/>
    </xf>
    <xf numFmtId="0" fontId="0" fillId="0" borderId="0" xfId="0" applyAlignment="1">
      <alignment horizontal="left" vertical="top" wrapText="1"/>
    </xf>
    <xf numFmtId="0" fontId="7" fillId="0" borderId="0" xfId="2" applyFont="1" applyFill="1" applyBorder="1" applyAlignment="1">
      <alignment vertical="top" wrapText="1"/>
    </xf>
    <xf numFmtId="0" fontId="7" fillId="0" borderId="0" xfId="2" applyFont="1" applyFill="1" applyBorder="1" applyAlignment="1">
      <alignment horizontal="left" vertical="top" wrapText="1"/>
    </xf>
    <xf numFmtId="0" fontId="0" fillId="0" borderId="0" xfId="0" applyFill="1" applyAlignment="1">
      <alignment horizontal="left" vertical="top" wrapText="1"/>
    </xf>
    <xf numFmtId="8" fontId="0" fillId="0" borderId="0" xfId="1" applyNumberFormat="1" applyFont="1" applyFill="1" applyAlignment="1">
      <alignment vertical="top" wrapText="1"/>
    </xf>
    <xf numFmtId="0" fontId="9" fillId="0" borderId="0" xfId="2" applyFont="1" applyFill="1" applyBorder="1" applyAlignment="1">
      <alignment vertical="top" wrapText="1"/>
    </xf>
    <xf numFmtId="43" fontId="0" fillId="0" borderId="0" xfId="3" applyFont="1"/>
    <xf numFmtId="43" fontId="0" fillId="0" borderId="0" xfId="3" applyFont="1" applyAlignment="1">
      <alignment wrapText="1"/>
    </xf>
    <xf numFmtId="43" fontId="0" fillId="0" borderId="0" xfId="3" applyFont="1" applyAlignment="1">
      <alignment vertical="top" wrapText="1"/>
    </xf>
    <xf numFmtId="43" fontId="2" fillId="0" borderId="0" xfId="3" applyFont="1" applyAlignment="1">
      <alignment horizontal="left" vertical="top" wrapText="1"/>
    </xf>
    <xf numFmtId="43" fontId="0" fillId="0" borderId="0" xfId="3" applyFont="1" applyBorder="1" applyAlignment="1">
      <alignment vertical="top" wrapText="1"/>
    </xf>
    <xf numFmtId="43" fontId="4" fillId="0" borderId="0" xfId="3" applyFont="1" applyBorder="1" applyAlignment="1">
      <alignment horizontal="left" vertical="top" wrapText="1"/>
    </xf>
    <xf numFmtId="43" fontId="0" fillId="0" borderId="0" xfId="3" applyFont="1" applyBorder="1"/>
    <xf numFmtId="43" fontId="0" fillId="0" borderId="0" xfId="3" applyFont="1" applyBorder="1" applyAlignment="1">
      <alignment wrapText="1"/>
    </xf>
    <xf numFmtId="0" fontId="11" fillId="0" borderId="0" xfId="0" applyFont="1" applyAlignment="1">
      <alignment vertical="top" wrapText="1"/>
    </xf>
    <xf numFmtId="14" fontId="11" fillId="0" borderId="0" xfId="0" applyNumberFormat="1" applyFont="1" applyAlignment="1">
      <alignment vertical="top" wrapText="1"/>
    </xf>
    <xf numFmtId="14" fontId="12" fillId="0" borderId="0" xfId="0" applyNumberFormat="1" applyFont="1" applyAlignment="1">
      <alignment horizontal="center" vertical="center" wrapText="1"/>
    </xf>
    <xf numFmtId="40" fontId="11" fillId="0" borderId="0" xfId="0" applyNumberFormat="1" applyFont="1" applyAlignment="1">
      <alignment vertical="top" wrapText="1"/>
    </xf>
    <xf numFmtId="0" fontId="13" fillId="0" borderId="0" xfId="0" applyFont="1" applyAlignment="1">
      <alignment vertical="top" wrapText="1"/>
    </xf>
    <xf numFmtId="0" fontId="13" fillId="0" borderId="0" xfId="0" applyFont="1" applyAlignment="1">
      <alignment horizontal="left" vertical="top" wrapText="1"/>
    </xf>
    <xf numFmtId="40" fontId="17" fillId="0" borderId="1" xfId="0" applyNumberFormat="1" applyFont="1" applyFill="1" applyBorder="1" applyAlignment="1">
      <alignment horizontal="right" vertical="top" wrapText="1"/>
    </xf>
    <xf numFmtId="40" fontId="21" fillId="0" borderId="0" xfId="0" applyNumberFormat="1" applyFont="1" applyFill="1" applyBorder="1" applyAlignment="1">
      <alignment vertical="top" wrapText="1"/>
    </xf>
    <xf numFmtId="14" fontId="11" fillId="0" borderId="0" xfId="0" applyNumberFormat="1" applyFont="1" applyAlignment="1">
      <alignment horizontal="left" vertical="center" wrapText="1"/>
    </xf>
    <xf numFmtId="0" fontId="11" fillId="0" borderId="0" xfId="0" applyFont="1" applyAlignment="1">
      <alignment horizontal="left" vertical="top" wrapText="1"/>
    </xf>
    <xf numFmtId="40" fontId="20" fillId="0" borderId="0" xfId="0" applyNumberFormat="1" applyFont="1" applyBorder="1" applyAlignment="1">
      <alignment horizontal="left" vertical="top" wrapText="1"/>
    </xf>
    <xf numFmtId="40" fontId="20" fillId="0" borderId="0" xfId="0" applyNumberFormat="1" applyFont="1" applyFill="1" applyBorder="1" applyAlignment="1">
      <alignment horizontal="right" vertical="top" wrapText="1"/>
    </xf>
    <xf numFmtId="40" fontId="13" fillId="0" borderId="0" xfId="0" applyNumberFormat="1" applyFont="1" applyBorder="1" applyAlignment="1">
      <alignment vertical="top" wrapText="1"/>
    </xf>
    <xf numFmtId="40" fontId="21" fillId="0" borderId="0" xfId="0" applyNumberFormat="1" applyFont="1" applyBorder="1" applyAlignment="1">
      <alignment vertical="top" wrapText="1"/>
    </xf>
    <xf numFmtId="40" fontId="15" fillId="0" borderId="0" xfId="0" applyNumberFormat="1" applyFont="1" applyBorder="1" applyAlignment="1">
      <alignment horizontal="center" vertical="center" wrapText="1"/>
    </xf>
    <xf numFmtId="40" fontId="14" fillId="0" borderId="0" xfId="0" applyNumberFormat="1" applyFont="1" applyBorder="1" applyAlignment="1">
      <alignment horizontal="center" vertical="center" wrapText="1"/>
    </xf>
    <xf numFmtId="0" fontId="11" fillId="0" borderId="0" xfId="0" applyFont="1" applyBorder="1" applyAlignment="1">
      <alignment vertical="top" wrapText="1"/>
    </xf>
    <xf numFmtId="40" fontId="11" fillId="0" borderId="0" xfId="0" applyNumberFormat="1" applyFont="1" applyBorder="1" applyAlignment="1">
      <alignment vertical="top" wrapText="1"/>
    </xf>
    <xf numFmtId="0" fontId="17" fillId="0" borderId="0" xfId="0" applyFont="1" applyBorder="1" applyAlignment="1">
      <alignment vertical="top" wrapText="1"/>
    </xf>
    <xf numFmtId="0" fontId="21" fillId="0" borderId="0" xfId="0" applyFont="1" applyBorder="1" applyAlignment="1">
      <alignment vertical="top" wrapText="1"/>
    </xf>
    <xf numFmtId="0" fontId="21" fillId="0" borderId="0" xfId="0" applyFont="1" applyBorder="1" applyAlignment="1">
      <alignment horizontal="center" vertical="center" wrapText="1"/>
    </xf>
    <xf numFmtId="40" fontId="21" fillId="0" borderId="0" xfId="0" applyNumberFormat="1" applyFont="1" applyBorder="1"/>
    <xf numFmtId="40" fontId="21" fillId="0" borderId="0" xfId="0" applyNumberFormat="1" applyFont="1" applyBorder="1" applyAlignment="1">
      <alignment horizontal="center" vertical="center" wrapText="1"/>
    </xf>
    <xf numFmtId="40" fontId="17" fillId="0" borderId="0" xfId="0" applyNumberFormat="1" applyFont="1" applyBorder="1" applyAlignment="1">
      <alignment vertical="top" wrapText="1"/>
    </xf>
    <xf numFmtId="0" fontId="25" fillId="0" borderId="0" xfId="0" applyFont="1" applyAlignment="1">
      <alignment horizontal="left" vertical="top"/>
    </xf>
    <xf numFmtId="43" fontId="0" fillId="0" borderId="1" xfId="3" applyFont="1" applyBorder="1"/>
    <xf numFmtId="43" fontId="10" fillId="0" borderId="1" xfId="3" applyFont="1" applyBorder="1"/>
    <xf numFmtId="43" fontId="0" fillId="0" borderId="9" xfId="3" applyFont="1" applyBorder="1"/>
    <xf numFmtId="43" fontId="10" fillId="0" borderId="9" xfId="3" applyFont="1" applyBorder="1"/>
    <xf numFmtId="43" fontId="10" fillId="0" borderId="10" xfId="3" applyFont="1" applyBorder="1"/>
    <xf numFmtId="43" fontId="10" fillId="0" borderId="6" xfId="3" applyFont="1" applyBorder="1"/>
    <xf numFmtId="14" fontId="0" fillId="0" borderId="0" xfId="3" applyNumberFormat="1" applyFont="1" applyAlignment="1">
      <alignment horizontal="left" vertical="center" wrapText="1"/>
    </xf>
    <xf numFmtId="14" fontId="11" fillId="0" borderId="0" xfId="0" applyNumberFormat="1" applyFont="1" applyAlignment="1">
      <alignment vertical="center" wrapText="1"/>
    </xf>
    <xf numFmtId="43" fontId="10" fillId="0" borderId="0" xfId="3" applyFont="1" applyBorder="1"/>
    <xf numFmtId="43" fontId="10" fillId="0" borderId="0" xfId="3" applyFont="1"/>
    <xf numFmtId="43" fontId="0" fillId="0" borderId="8" xfId="3" applyFont="1" applyBorder="1"/>
    <xf numFmtId="43" fontId="0" fillId="0" borderId="5" xfId="3" applyFont="1" applyBorder="1"/>
    <xf numFmtId="40" fontId="17" fillId="0" borderId="1" xfId="0" applyNumberFormat="1" applyFont="1" applyBorder="1" applyAlignment="1">
      <alignment horizontal="right" vertical="top" wrapText="1"/>
    </xf>
    <xf numFmtId="40" fontId="24" fillId="0" borderId="0" xfId="0" applyNumberFormat="1" applyFont="1" applyBorder="1" applyAlignment="1">
      <alignment horizontal="left" vertical="top" wrapText="1"/>
    </xf>
    <xf numFmtId="40" fontId="17" fillId="0" borderId="0" xfId="0" applyNumberFormat="1" applyFont="1" applyBorder="1" applyAlignment="1">
      <alignment horizontal="center" vertical="center" wrapText="1"/>
    </xf>
    <xf numFmtId="14" fontId="17" fillId="0" borderId="0" xfId="0" applyNumberFormat="1" applyFont="1" applyBorder="1" applyAlignment="1">
      <alignment horizontal="center" vertical="center"/>
    </xf>
    <xf numFmtId="43" fontId="11" fillId="0" borderId="0" xfId="3" applyFont="1" applyAlignment="1">
      <alignment vertical="top" wrapText="1"/>
    </xf>
    <xf numFmtId="43" fontId="27" fillId="0" borderId="0" xfId="3" applyFont="1"/>
    <xf numFmtId="43" fontId="27" fillId="0" borderId="9" xfId="3" applyFont="1" applyBorder="1"/>
    <xf numFmtId="43" fontId="27" fillId="0" borderId="1" xfId="3" applyFont="1" applyBorder="1"/>
    <xf numFmtId="0" fontId="17" fillId="0" borderId="0" xfId="0" applyFont="1" applyBorder="1" applyAlignment="1">
      <alignment horizontal="center" vertical="center" wrapText="1"/>
    </xf>
    <xf numFmtId="0" fontId="11" fillId="0" borderId="0" xfId="0" applyFont="1" applyAlignment="1">
      <alignment horizontal="left" vertical="center"/>
    </xf>
    <xf numFmtId="14" fontId="19" fillId="0" borderId="0" xfId="0" applyNumberFormat="1" applyFont="1" applyBorder="1" applyAlignment="1">
      <alignment horizontal="right" vertical="top"/>
    </xf>
    <xf numFmtId="14" fontId="23" fillId="0" borderId="0" xfId="0" applyNumberFormat="1" applyFont="1" applyBorder="1" applyAlignment="1">
      <alignment horizontal="right" vertical="top"/>
    </xf>
    <xf numFmtId="43" fontId="28" fillId="0" borderId="0" xfId="3" applyFont="1"/>
    <xf numFmtId="43" fontId="28" fillId="0" borderId="10" xfId="3" applyFont="1" applyBorder="1"/>
    <xf numFmtId="43" fontId="28" fillId="0" borderId="13" xfId="3" applyFont="1" applyBorder="1"/>
    <xf numFmtId="43" fontId="28" fillId="0" borderId="6" xfId="3" applyFont="1" applyBorder="1"/>
    <xf numFmtId="43" fontId="28" fillId="0" borderId="14" xfId="3" applyFont="1" applyBorder="1"/>
    <xf numFmtId="43" fontId="29" fillId="0" borderId="0" xfId="3" applyFont="1"/>
    <xf numFmtId="43" fontId="29" fillId="0" borderId="10" xfId="3" applyFont="1" applyBorder="1"/>
    <xf numFmtId="43" fontId="29" fillId="0" borderId="6" xfId="3" applyFont="1" applyBorder="1"/>
    <xf numFmtId="43" fontId="29" fillId="0" borderId="13" xfId="3" applyFont="1" applyBorder="1"/>
    <xf numFmtId="43" fontId="29" fillId="0" borderId="14" xfId="3" applyFont="1" applyBorder="1"/>
    <xf numFmtId="43" fontId="0" fillId="0" borderId="10" xfId="3" applyFont="1" applyBorder="1"/>
    <xf numFmtId="43" fontId="0" fillId="0" borderId="13" xfId="3" applyFont="1" applyBorder="1"/>
    <xf numFmtId="43" fontId="0" fillId="0" borderId="6" xfId="3" applyFont="1" applyBorder="1"/>
    <xf numFmtId="43" fontId="0" fillId="0" borderId="14" xfId="3" applyFont="1" applyBorder="1"/>
    <xf numFmtId="43" fontId="30" fillId="0" borderId="0" xfId="3" applyFont="1" applyBorder="1"/>
    <xf numFmtId="43" fontId="30" fillId="0" borderId="0" xfId="3" applyFont="1"/>
    <xf numFmtId="14" fontId="17" fillId="0" borderId="0" xfId="0" applyNumberFormat="1" applyFont="1" applyBorder="1" applyAlignment="1">
      <alignment horizontal="center" vertical="center" wrapText="1"/>
    </xf>
    <xf numFmtId="43" fontId="31" fillId="0" borderId="0" xfId="3" applyFont="1"/>
    <xf numFmtId="40" fontId="24" fillId="0" borderId="0" xfId="0" applyNumberFormat="1" applyFont="1" applyAlignment="1">
      <alignment horizontal="left" vertical="top" wrapText="1"/>
    </xf>
    <xf numFmtId="43" fontId="32" fillId="0" borderId="0" xfId="3" applyFont="1" applyBorder="1"/>
    <xf numFmtId="43" fontId="32" fillId="0" borderId="0" xfId="3" applyFont="1"/>
    <xf numFmtId="40" fontId="24" fillId="0" borderId="0" xfId="0" applyNumberFormat="1" applyFont="1" applyBorder="1" applyAlignment="1">
      <alignment vertical="top" wrapText="1"/>
    </xf>
    <xf numFmtId="43" fontId="33" fillId="0" borderId="0" xfId="3" applyFont="1"/>
    <xf numFmtId="43" fontId="34" fillId="0" borderId="0" xfId="3" applyFont="1"/>
    <xf numFmtId="43" fontId="35" fillId="0" borderId="0" xfId="3" applyFont="1"/>
    <xf numFmtId="40" fontId="17" fillId="0" borderId="0" xfId="0" applyNumberFormat="1" applyFont="1" applyAlignment="1">
      <alignment horizontal="center" vertical="top" wrapText="1"/>
    </xf>
    <xf numFmtId="40" fontId="24" fillId="0" borderId="0" xfId="0" applyNumberFormat="1" applyFont="1" applyAlignment="1">
      <alignment horizontal="center" vertical="top" wrapText="1"/>
    </xf>
    <xf numFmtId="40" fontId="17" fillId="0" borderId="1" xfId="0" applyNumberFormat="1" applyFont="1" applyBorder="1" applyAlignment="1">
      <alignment vertical="top" wrapText="1"/>
    </xf>
    <xf numFmtId="40" fontId="17" fillId="4" borderId="1" xfId="0" applyNumberFormat="1" applyFont="1" applyFill="1" applyBorder="1" applyAlignment="1">
      <alignment horizontal="right" vertical="top" wrapText="1"/>
    </xf>
    <xf numFmtId="40" fontId="21" fillId="0" borderId="0" xfId="0" applyNumberFormat="1" applyFont="1" applyBorder="1" applyAlignment="1">
      <alignment horizontal="center" vertical="top" wrapText="1"/>
    </xf>
    <xf numFmtId="40" fontId="14" fillId="0" borderId="0" xfId="0" applyNumberFormat="1" applyFont="1" applyBorder="1" applyAlignment="1">
      <alignment horizontal="center" vertical="top" wrapText="1"/>
    </xf>
    <xf numFmtId="40" fontId="17" fillId="0" borderId="0" xfId="0" applyNumberFormat="1" applyFont="1" applyBorder="1" applyAlignment="1">
      <alignment horizontal="center" vertical="top" wrapText="1"/>
    </xf>
    <xf numFmtId="40" fontId="16" fillId="5" borderId="6" xfId="0" applyNumberFormat="1" applyFont="1" applyFill="1" applyBorder="1" applyAlignment="1">
      <alignment horizontal="center" vertical="top" wrapText="1"/>
    </xf>
    <xf numFmtId="40" fontId="23" fillId="2" borderId="6" xfId="0" applyNumberFormat="1" applyFont="1" applyFill="1" applyBorder="1" applyAlignment="1">
      <alignment horizontal="center" vertical="top" wrapText="1"/>
    </xf>
    <xf numFmtId="40" fontId="24" fillId="0" borderId="0" xfId="0" applyNumberFormat="1" applyFont="1" applyAlignment="1">
      <alignment vertical="top" wrapText="1"/>
    </xf>
    <xf numFmtId="40" fontId="17" fillId="0" borderId="5" xfId="0" applyNumberFormat="1" applyFont="1" applyBorder="1" applyAlignment="1">
      <alignment vertical="top" wrapText="1"/>
    </xf>
    <xf numFmtId="43" fontId="36" fillId="0" borderId="0" xfId="3" applyFont="1"/>
    <xf numFmtId="9" fontId="0" fillId="0" borderId="0" xfId="4" applyFont="1"/>
    <xf numFmtId="38" fontId="37" fillId="0" borderId="18" xfId="0" applyNumberFormat="1" applyFont="1" applyFill="1" applyBorder="1" applyAlignment="1">
      <alignment horizontal="center" vertical="center" wrapText="1"/>
    </xf>
    <xf numFmtId="38" fontId="37" fillId="6" borderId="15" xfId="0" applyNumberFormat="1" applyFont="1" applyFill="1" applyBorder="1" applyAlignment="1">
      <alignment horizontal="center" vertical="center" wrapText="1"/>
    </xf>
    <xf numFmtId="38" fontId="37" fillId="0" borderId="3" xfId="0" applyNumberFormat="1" applyFont="1" applyFill="1" applyBorder="1" applyAlignment="1">
      <alignment vertical="top"/>
    </xf>
    <xf numFmtId="38" fontId="37" fillId="0" borderId="3" xfId="0" applyNumberFormat="1" applyFont="1" applyBorder="1" applyAlignment="1">
      <alignment vertical="top"/>
    </xf>
    <xf numFmtId="38" fontId="37" fillId="0" borderId="9" xfId="0" applyNumberFormat="1" applyFont="1" applyFill="1" applyBorder="1" applyAlignment="1">
      <alignment horizontal="right" vertical="top"/>
    </xf>
    <xf numFmtId="38" fontId="37" fillId="0" borderId="24" xfId="0" applyNumberFormat="1" applyFont="1" applyFill="1" applyBorder="1" applyAlignment="1">
      <alignment vertical="top"/>
    </xf>
    <xf numFmtId="14" fontId="16" fillId="0" borderId="7" xfId="1" applyNumberFormat="1" applyFont="1" applyBorder="1" applyAlignment="1">
      <alignment horizontal="center" vertical="center" wrapText="1"/>
    </xf>
    <xf numFmtId="14" fontId="16" fillId="0" borderId="25" xfId="1" applyNumberFormat="1" applyFont="1" applyBorder="1" applyAlignment="1">
      <alignment horizontal="center" vertical="center" wrapText="1"/>
    </xf>
    <xf numFmtId="40" fontId="16" fillId="0" borderId="7" xfId="1" applyNumberFormat="1" applyFont="1" applyBorder="1" applyAlignment="1">
      <alignment horizontal="center" vertical="center" wrapText="1"/>
    </xf>
    <xf numFmtId="14" fontId="17" fillId="4" borderId="7" xfId="0" applyNumberFormat="1" applyFont="1" applyFill="1" applyBorder="1" applyAlignment="1">
      <alignment horizontal="left" vertical="top" wrapText="1"/>
    </xf>
    <xf numFmtId="40" fontId="17" fillId="4" borderId="25" xfId="0" applyNumberFormat="1" applyFont="1" applyFill="1" applyBorder="1" applyAlignment="1">
      <alignment horizontal="right" vertical="top" wrapText="1"/>
    </xf>
    <xf numFmtId="40" fontId="17" fillId="4" borderId="7" xfId="0" applyNumberFormat="1" applyFont="1" applyFill="1" applyBorder="1" applyAlignment="1">
      <alignment horizontal="right" vertical="top" wrapText="1"/>
    </xf>
    <xf numFmtId="14" fontId="17" fillId="0" borderId="7" xfId="0" applyNumberFormat="1" applyFont="1" applyBorder="1" applyAlignment="1">
      <alignment horizontal="left" vertical="top" wrapText="1"/>
    </xf>
    <xf numFmtId="40" fontId="17" fillId="0" borderId="25" xfId="0" applyNumberFormat="1" applyFont="1" applyBorder="1" applyAlignment="1">
      <alignment horizontal="right" vertical="top" wrapText="1"/>
    </xf>
    <xf numFmtId="40" fontId="17" fillId="0" borderId="7" xfId="0" applyNumberFormat="1" applyFont="1" applyBorder="1" applyAlignment="1">
      <alignment horizontal="right" vertical="top" wrapText="1"/>
    </xf>
    <xf numFmtId="40" fontId="17" fillId="4" borderId="25" xfId="0" applyNumberFormat="1" applyFont="1" applyFill="1" applyBorder="1" applyAlignment="1">
      <alignment vertical="top" wrapText="1"/>
    </xf>
    <xf numFmtId="40" fontId="17" fillId="4" borderId="7" xfId="0" applyNumberFormat="1" applyFont="1" applyFill="1" applyBorder="1" applyAlignment="1">
      <alignment vertical="top" wrapText="1"/>
    </xf>
    <xf numFmtId="40" fontId="17" fillId="0" borderId="25" xfId="0" applyNumberFormat="1" applyFont="1" applyBorder="1" applyAlignment="1">
      <alignment vertical="top" wrapText="1"/>
    </xf>
    <xf numFmtId="40" fontId="17" fillId="0" borderId="7" xfId="0" applyNumberFormat="1" applyFont="1" applyBorder="1" applyAlignment="1">
      <alignment vertical="top" wrapText="1"/>
    </xf>
    <xf numFmtId="14" fontId="23" fillId="4" borderId="2" xfId="0" applyNumberFormat="1" applyFont="1" applyFill="1" applyBorder="1" applyAlignment="1">
      <alignment horizontal="left" vertical="top" wrapText="1"/>
    </xf>
    <xf numFmtId="40" fontId="23" fillId="4" borderId="26" xfId="0" applyNumberFormat="1" applyFont="1" applyFill="1" applyBorder="1" applyAlignment="1">
      <alignment horizontal="right" vertical="top" wrapText="1"/>
    </xf>
    <xf numFmtId="40" fontId="23" fillId="4" borderId="2" xfId="0" applyNumberFormat="1" applyFont="1" applyFill="1" applyBorder="1" applyAlignment="1">
      <alignment horizontal="right" vertical="top" wrapText="1"/>
    </xf>
    <xf numFmtId="40" fontId="16" fillId="0" borderId="27" xfId="1" applyNumberFormat="1" applyFont="1" applyBorder="1" applyAlignment="1">
      <alignment horizontal="center" vertical="center" wrapText="1"/>
    </xf>
    <xf numFmtId="40" fontId="17" fillId="4" borderId="27" xfId="0" applyNumberFormat="1" applyFont="1" applyFill="1" applyBorder="1" applyAlignment="1">
      <alignment horizontal="right" vertical="top" wrapText="1"/>
    </xf>
    <xf numFmtId="40" fontId="17" fillId="0" borderId="27" xfId="0" applyNumberFormat="1" applyFont="1" applyBorder="1" applyAlignment="1">
      <alignment horizontal="right" vertical="top" wrapText="1"/>
    </xf>
    <xf numFmtId="40" fontId="17" fillId="4" borderId="27" xfId="0" applyNumberFormat="1" applyFont="1" applyFill="1" applyBorder="1" applyAlignment="1">
      <alignment vertical="top" wrapText="1"/>
    </xf>
    <xf numFmtId="40" fontId="17" fillId="0" borderId="27" xfId="0" applyNumberFormat="1" applyFont="1" applyBorder="1" applyAlignment="1">
      <alignment vertical="top" wrapText="1"/>
    </xf>
    <xf numFmtId="40" fontId="23" fillId="4" borderId="3" xfId="0" applyNumberFormat="1" applyFont="1" applyFill="1" applyBorder="1" applyAlignment="1">
      <alignment horizontal="right" vertical="top" wrapText="1"/>
    </xf>
    <xf numFmtId="0" fontId="0" fillId="0" borderId="0" xfId="0"/>
    <xf numFmtId="0" fontId="0" fillId="0" borderId="0" xfId="0" applyAlignment="1">
      <alignment horizontal="center" vertical="top"/>
    </xf>
    <xf numFmtId="38" fontId="37" fillId="0" borderId="4" xfId="0" applyNumberFormat="1" applyFont="1" applyFill="1" applyBorder="1" applyAlignment="1">
      <alignment horizontal="right" vertical="top"/>
    </xf>
    <xf numFmtId="164" fontId="17" fillId="0" borderId="0" xfId="0" applyNumberFormat="1" applyFont="1" applyBorder="1" applyAlignment="1">
      <alignment vertical="top" wrapText="1"/>
    </xf>
    <xf numFmtId="164" fontId="11" fillId="0" borderId="0" xfId="0" applyNumberFormat="1" applyFont="1" applyBorder="1" applyAlignment="1">
      <alignment vertical="top" wrapText="1"/>
    </xf>
    <xf numFmtId="164" fontId="17" fillId="0" borderId="0" xfId="0" applyNumberFormat="1" applyFont="1" applyBorder="1" applyAlignment="1">
      <alignment horizontal="center" vertical="center" wrapText="1"/>
    </xf>
    <xf numFmtId="164" fontId="21" fillId="0" borderId="0" xfId="0" applyNumberFormat="1" applyFont="1" applyBorder="1" applyAlignment="1">
      <alignment horizontal="center" vertical="center" wrapText="1"/>
    </xf>
    <xf numFmtId="164" fontId="14" fillId="0" borderId="0" xfId="0" applyNumberFormat="1" applyFont="1" applyBorder="1" applyAlignment="1">
      <alignment horizontal="center" vertical="center" wrapText="1"/>
    </xf>
    <xf numFmtId="164" fontId="15" fillId="0" borderId="0" xfId="0" applyNumberFormat="1" applyFont="1" applyBorder="1" applyAlignment="1">
      <alignment horizontal="center" vertical="center" wrapText="1"/>
    </xf>
    <xf numFmtId="164" fontId="17" fillId="0" borderId="0" xfId="0" applyNumberFormat="1" applyFont="1" applyBorder="1" applyAlignment="1">
      <alignment horizontal="center" vertical="center"/>
    </xf>
    <xf numFmtId="164" fontId="11" fillId="0" borderId="0" xfId="0" applyNumberFormat="1" applyFont="1" applyAlignment="1">
      <alignment vertical="top" wrapText="1"/>
    </xf>
    <xf numFmtId="0" fontId="11" fillId="0" borderId="0" xfId="0" applyFont="1" applyAlignment="1">
      <alignment vertical="top" wrapText="1"/>
    </xf>
    <xf numFmtId="40" fontId="17" fillId="0" borderId="1" xfId="0" applyNumberFormat="1" applyFont="1" applyFill="1" applyBorder="1" applyAlignment="1">
      <alignment horizontal="right" vertical="top" wrapText="1"/>
    </xf>
    <xf numFmtId="40" fontId="17" fillId="0" borderId="1" xfId="0" applyNumberFormat="1" applyFont="1" applyBorder="1" applyAlignment="1">
      <alignment horizontal="right" vertical="top" wrapText="1"/>
    </xf>
    <xf numFmtId="164" fontId="24" fillId="0" borderId="0" xfId="0" applyNumberFormat="1" applyFont="1" applyAlignment="1">
      <alignment horizontal="center" vertical="top" wrapText="1"/>
    </xf>
    <xf numFmtId="164" fontId="24" fillId="0" borderId="0" xfId="0" applyNumberFormat="1" applyFont="1" applyBorder="1" applyAlignment="1">
      <alignment horizontal="center" vertical="top"/>
    </xf>
    <xf numFmtId="164" fontId="24" fillId="0" borderId="0" xfId="0" applyNumberFormat="1" applyFont="1" applyAlignment="1">
      <alignment horizontal="center" vertical="top"/>
    </xf>
    <xf numFmtId="40" fontId="17" fillId="0" borderId="0" xfId="0" applyNumberFormat="1" applyFont="1" applyAlignment="1">
      <alignment vertical="top" wrapText="1"/>
    </xf>
    <xf numFmtId="40" fontId="17" fillId="0" borderId="1" xfId="0" applyNumberFormat="1" applyFont="1" applyBorder="1" applyAlignment="1">
      <alignment vertical="top" wrapText="1"/>
    </xf>
    <xf numFmtId="40" fontId="17" fillId="4" borderId="1" xfId="0" applyNumberFormat="1" applyFont="1" applyFill="1" applyBorder="1" applyAlignment="1">
      <alignment horizontal="right" vertical="top" wrapText="1"/>
    </xf>
    <xf numFmtId="40" fontId="16" fillId="5" borderId="6" xfId="0" applyNumberFormat="1" applyFont="1" applyFill="1" applyBorder="1" applyAlignment="1">
      <alignment horizontal="center" vertical="top" wrapText="1"/>
    </xf>
    <xf numFmtId="38" fontId="37" fillId="0" borderId="3" xfId="0" applyNumberFormat="1" applyFont="1" applyFill="1" applyBorder="1" applyAlignment="1">
      <alignment vertical="top"/>
    </xf>
    <xf numFmtId="38" fontId="37" fillId="0" borderId="1" xfId="0" applyNumberFormat="1" applyFont="1" applyFill="1" applyBorder="1" applyAlignment="1">
      <alignment vertical="top"/>
    </xf>
    <xf numFmtId="38" fontId="37" fillId="0" borderId="4" xfId="0" applyNumberFormat="1" applyFont="1" applyFill="1" applyBorder="1" applyAlignment="1">
      <alignment vertical="top"/>
    </xf>
    <xf numFmtId="40" fontId="16" fillId="0" borderId="7" xfId="1" applyNumberFormat="1" applyFont="1" applyBorder="1" applyAlignment="1">
      <alignment horizontal="center" vertical="center" wrapText="1"/>
    </xf>
    <xf numFmtId="40" fontId="17" fillId="4" borderId="7" xfId="0" applyNumberFormat="1" applyFont="1" applyFill="1" applyBorder="1" applyAlignment="1">
      <alignment horizontal="right" vertical="top" wrapText="1"/>
    </xf>
    <xf numFmtId="40" fontId="17" fillId="2" borderId="7" xfId="0" applyNumberFormat="1" applyFont="1" applyFill="1" applyBorder="1" applyAlignment="1">
      <alignment horizontal="right" vertical="top" wrapText="1"/>
    </xf>
    <xf numFmtId="40" fontId="17" fillId="4" borderId="7" xfId="0" applyNumberFormat="1" applyFont="1" applyFill="1" applyBorder="1" applyAlignment="1">
      <alignment vertical="top" wrapText="1"/>
    </xf>
    <xf numFmtId="40" fontId="17" fillId="0" borderId="7" xfId="0" applyNumberFormat="1" applyFont="1" applyBorder="1" applyAlignment="1">
      <alignment vertical="top" wrapText="1"/>
    </xf>
    <xf numFmtId="40" fontId="23" fillId="4" borderId="2" xfId="0" applyNumberFormat="1" applyFont="1" applyFill="1" applyBorder="1" applyAlignment="1">
      <alignment horizontal="right" vertical="top" wrapText="1"/>
    </xf>
    <xf numFmtId="40" fontId="17" fillId="0" borderId="0" xfId="0" applyNumberFormat="1" applyFont="1" applyBorder="1" applyAlignment="1">
      <alignment vertical="center" wrapText="1"/>
    </xf>
    <xf numFmtId="40" fontId="20" fillId="0" borderId="28" xfId="0" applyNumberFormat="1" applyFont="1" applyBorder="1" applyAlignment="1">
      <alignment vertical="top" wrapText="1"/>
    </xf>
    <xf numFmtId="40" fontId="20" fillId="0" borderId="0" xfId="0" applyNumberFormat="1" applyFont="1" applyBorder="1" applyAlignment="1">
      <alignment vertical="top" wrapText="1"/>
    </xf>
    <xf numFmtId="40" fontId="15" fillId="0" borderId="2" xfId="0" applyNumberFormat="1" applyFont="1" applyBorder="1" applyAlignment="1">
      <alignment horizontal="center" vertical="center" wrapText="1"/>
    </xf>
    <xf numFmtId="14" fontId="23" fillId="0" borderId="9" xfId="0" applyNumberFormat="1" applyFont="1" applyBorder="1" applyAlignment="1">
      <alignment horizontal="right" vertical="top" wrapText="1"/>
    </xf>
    <xf numFmtId="40" fontId="24" fillId="0" borderId="0" xfId="0" applyNumberFormat="1" applyFont="1" applyAlignment="1">
      <alignment horizontal="right" vertical="top" wrapText="1"/>
    </xf>
    <xf numFmtId="0" fontId="17" fillId="0" borderId="0" xfId="0" applyFont="1" applyBorder="1" applyAlignment="1">
      <alignment horizontal="left" vertical="top" wrapText="1"/>
    </xf>
    <xf numFmtId="40" fontId="17" fillId="0" borderId="7" xfId="0" applyNumberFormat="1" applyFont="1" applyFill="1" applyBorder="1" applyAlignment="1">
      <alignment horizontal="right" vertical="top" wrapText="1"/>
    </xf>
    <xf numFmtId="0" fontId="2" fillId="0" borderId="0" xfId="0" applyFont="1" applyAlignment="1">
      <alignment vertical="top"/>
    </xf>
    <xf numFmtId="8" fontId="0" fillId="0" borderId="0" xfId="0" applyNumberFormat="1"/>
    <xf numFmtId="14" fontId="17" fillId="0" borderId="0" xfId="0" applyNumberFormat="1" applyFont="1" applyAlignment="1">
      <alignment vertical="top" wrapText="1"/>
    </xf>
    <xf numFmtId="14" fontId="17" fillId="0" borderId="0" xfId="0" applyNumberFormat="1" applyFont="1" applyAlignment="1">
      <alignment horizontal="left" vertical="top" wrapText="1"/>
    </xf>
    <xf numFmtId="4" fontId="24" fillId="0" borderId="0" xfId="0" applyNumberFormat="1" applyFont="1" applyAlignment="1">
      <alignment horizontal="right" vertical="top"/>
    </xf>
    <xf numFmtId="43" fontId="43" fillId="0" borderId="0" xfId="3" applyFont="1"/>
    <xf numFmtId="0" fontId="44" fillId="0" borderId="0" xfId="0" applyFont="1" applyAlignment="1">
      <alignment vertical="top"/>
    </xf>
    <xf numFmtId="0" fontId="0" fillId="0" borderId="0" xfId="0" applyAlignment="1">
      <alignment horizontal="left" vertical="top"/>
    </xf>
    <xf numFmtId="43" fontId="45" fillId="0" borderId="0" xfId="3" applyFont="1"/>
    <xf numFmtId="0" fontId="0" fillId="2" borderId="0" xfId="0" applyFill="1" applyAlignment="1">
      <alignment horizontal="center" vertical="top"/>
    </xf>
    <xf numFmtId="0" fontId="2" fillId="2" borderId="0" xfId="0" applyFont="1" applyFill="1"/>
    <xf numFmtId="0" fontId="0" fillId="2" borderId="0" xfId="0" applyFill="1"/>
    <xf numFmtId="0" fontId="2" fillId="2" borderId="0" xfId="0" applyFont="1" applyFill="1" applyAlignment="1">
      <alignment horizontal="left" indent="2"/>
    </xf>
    <xf numFmtId="3" fontId="0" fillId="0" borderId="0" xfId="0" applyNumberFormat="1"/>
    <xf numFmtId="38" fontId="37" fillId="6" borderId="34" xfId="0" applyNumberFormat="1" applyFont="1" applyFill="1" applyBorder="1" applyAlignment="1">
      <alignment horizontal="center" vertical="center" wrapText="1"/>
    </xf>
    <xf numFmtId="0" fontId="37" fillId="0" borderId="2" xfId="0" applyFont="1" applyFill="1" applyBorder="1" applyAlignment="1">
      <alignment vertical="top" wrapText="1"/>
    </xf>
    <xf numFmtId="38" fontId="38" fillId="0" borderId="2" xfId="0" applyNumberFormat="1" applyFont="1" applyFill="1" applyBorder="1" applyAlignment="1">
      <alignment horizontal="right" vertical="top" wrapText="1"/>
    </xf>
    <xf numFmtId="38" fontId="38" fillId="0" borderId="2" xfId="0" applyNumberFormat="1" applyFont="1" applyBorder="1" applyAlignment="1">
      <alignment horizontal="right" vertical="center"/>
    </xf>
    <xf numFmtId="38" fontId="37" fillId="7" borderId="27" xfId="3" applyNumberFormat="1" applyFont="1" applyFill="1" applyBorder="1" applyAlignment="1">
      <alignment horizontal="center" vertical="center"/>
    </xf>
    <xf numFmtId="38" fontId="37" fillId="7" borderId="6" xfId="3" applyNumberFormat="1" applyFont="1" applyFill="1" applyBorder="1" applyAlignment="1">
      <alignment horizontal="center" vertical="center"/>
    </xf>
    <xf numFmtId="38" fontId="37" fillId="7" borderId="35" xfId="3" applyNumberFormat="1" applyFont="1" applyFill="1" applyBorder="1" applyAlignment="1">
      <alignment horizontal="center" vertical="center"/>
    </xf>
    <xf numFmtId="38" fontId="37" fillId="7" borderId="18" xfId="3" applyNumberFormat="1" applyFont="1" applyFill="1" applyBorder="1" applyAlignment="1">
      <alignment horizontal="center" vertical="center"/>
    </xf>
    <xf numFmtId="38" fontId="37" fillId="7" borderId="15" xfId="3" applyNumberFormat="1" applyFont="1" applyFill="1" applyBorder="1" applyAlignment="1">
      <alignment horizontal="center" vertical="center"/>
    </xf>
    <xf numFmtId="38" fontId="37" fillId="7" borderId="32" xfId="3" applyNumberFormat="1" applyFont="1" applyFill="1" applyBorder="1" applyAlignment="1">
      <alignment horizontal="center" vertical="center"/>
    </xf>
    <xf numFmtId="38" fontId="37" fillId="0" borderId="3" xfId="0" applyNumberFormat="1" applyFont="1" applyFill="1" applyBorder="1" applyAlignment="1">
      <alignment horizontal="right" vertical="top"/>
    </xf>
    <xf numFmtId="38" fontId="37" fillId="0" borderId="18" xfId="0" applyNumberFormat="1" applyFont="1" applyFill="1" applyBorder="1" applyAlignment="1">
      <alignment vertical="top"/>
    </xf>
    <xf numFmtId="38" fontId="37" fillId="0" borderId="15" xfId="0" applyNumberFormat="1" applyFont="1" applyFill="1" applyBorder="1" applyAlignment="1">
      <alignment vertical="top"/>
    </xf>
    <xf numFmtId="38" fontId="37" fillId="0" borderId="32" xfId="0" applyNumberFormat="1" applyFont="1" applyFill="1" applyBorder="1" applyAlignment="1">
      <alignment vertical="top"/>
    </xf>
    <xf numFmtId="0" fontId="46" fillId="0" borderId="0" xfId="0" applyFont="1" applyAlignment="1">
      <alignment horizontal="left" vertical="top"/>
    </xf>
    <xf numFmtId="40" fontId="20" fillId="0" borderId="11" xfId="0" applyNumberFormat="1" applyFont="1" applyBorder="1" applyAlignment="1">
      <alignment horizontal="center" vertical="top" wrapText="1"/>
    </xf>
    <xf numFmtId="40" fontId="13" fillId="0" borderId="0" xfId="0" applyNumberFormat="1" applyFont="1" applyBorder="1" applyAlignment="1">
      <alignment horizontal="center" vertical="center" wrapText="1"/>
    </xf>
    <xf numFmtId="40" fontId="23" fillId="0" borderId="2" xfId="0" applyNumberFormat="1" applyFont="1" applyBorder="1" applyAlignment="1">
      <alignment horizontal="right" vertical="top" wrapText="1"/>
    </xf>
    <xf numFmtId="40" fontId="23" fillId="0" borderId="9" xfId="0" applyNumberFormat="1" applyFont="1" applyBorder="1" applyAlignment="1">
      <alignment horizontal="right" vertical="top" wrapText="1"/>
    </xf>
    <xf numFmtId="0" fontId="5" fillId="0" borderId="0" xfId="0" applyFont="1" applyAlignment="1">
      <alignment horizontal="left" vertical="top" wrapText="1"/>
    </xf>
    <xf numFmtId="0" fontId="25" fillId="0" borderId="0" xfId="0" applyFont="1" applyAlignment="1">
      <alignment horizontal="left" vertical="top" wrapText="1"/>
    </xf>
    <xf numFmtId="0" fontId="13" fillId="0" borderId="0" xfId="0" applyFont="1" applyAlignment="1">
      <alignment horizontal="left" vertical="top" wrapText="1"/>
    </xf>
    <xf numFmtId="14" fontId="13" fillId="0" borderId="7" xfId="0" applyNumberFormat="1" applyFont="1" applyBorder="1" applyAlignment="1">
      <alignment horizontal="center" vertical="top" wrapText="1"/>
    </xf>
    <xf numFmtId="14" fontId="13" fillId="0" borderId="12" xfId="0" applyNumberFormat="1" applyFont="1" applyBorder="1" applyAlignment="1">
      <alignment horizontal="center" vertical="top" wrapText="1"/>
    </xf>
    <xf numFmtId="14" fontId="13" fillId="0" borderId="10" xfId="0" applyNumberFormat="1" applyFont="1" applyBorder="1" applyAlignment="1">
      <alignment horizontal="center" vertical="top" wrapText="1"/>
    </xf>
    <xf numFmtId="14" fontId="23" fillId="0" borderId="2" xfId="0" applyNumberFormat="1" applyFont="1" applyBorder="1" applyAlignment="1">
      <alignment horizontal="right" vertical="top" wrapText="1"/>
    </xf>
    <xf numFmtId="14" fontId="23" fillId="0" borderId="9" xfId="0" applyNumberFormat="1" applyFont="1" applyBorder="1" applyAlignment="1">
      <alignment horizontal="right" vertical="top" wrapText="1"/>
    </xf>
    <xf numFmtId="0" fontId="11" fillId="0" borderId="0" xfId="0" applyFont="1" applyAlignment="1">
      <alignment horizontal="left" vertical="top" wrapText="1"/>
    </xf>
    <xf numFmtId="40" fontId="26" fillId="5" borderId="11" xfId="1" applyNumberFormat="1" applyFont="1" applyFill="1" applyBorder="1" applyAlignment="1">
      <alignment horizontal="center" vertical="center" wrapText="1"/>
    </xf>
    <xf numFmtId="40" fontId="26" fillId="5" borderId="29" xfId="1" applyNumberFormat="1" applyFont="1" applyFill="1" applyBorder="1" applyAlignment="1">
      <alignment horizontal="center" vertical="center" wrapText="1"/>
    </xf>
    <xf numFmtId="43" fontId="5" fillId="0" borderId="0" xfId="3" applyFont="1" applyAlignment="1">
      <alignment horizontal="left" vertical="top" wrapText="1"/>
    </xf>
    <xf numFmtId="43" fontId="2" fillId="0" borderId="0" xfId="3" applyFont="1" applyAlignment="1">
      <alignment horizontal="left" vertical="top" wrapText="1"/>
    </xf>
    <xf numFmtId="43" fontId="4" fillId="0" borderId="0" xfId="3" applyFont="1" applyAlignment="1">
      <alignment horizontal="left" vertical="top" wrapText="1"/>
    </xf>
    <xf numFmtId="43" fontId="3" fillId="0" borderId="0" xfId="3" applyFont="1" applyAlignment="1">
      <alignment horizontal="left" vertical="top" wrapText="1"/>
    </xf>
    <xf numFmtId="43" fontId="4" fillId="0" borderId="0" xfId="3" applyFont="1" applyBorder="1" applyAlignment="1">
      <alignment horizontal="left" vertical="top" wrapText="1"/>
    </xf>
    <xf numFmtId="0" fontId="0" fillId="2" borderId="0" xfId="0" applyFill="1" applyAlignment="1">
      <alignment horizontal="left" vertical="top" wrapText="1"/>
    </xf>
    <xf numFmtId="0" fontId="7" fillId="3" borderId="0" xfId="2" applyFont="1" applyFill="1" applyBorder="1" applyAlignment="1">
      <alignment horizontal="left" vertical="top" wrapText="1"/>
    </xf>
    <xf numFmtId="0" fontId="7" fillId="0" borderId="0" xfId="2" applyFont="1" applyFill="1" applyBorder="1" applyAlignment="1">
      <alignment horizontal="left" vertical="top" wrapText="1"/>
    </xf>
    <xf numFmtId="0" fontId="0" fillId="0" borderId="0" xfId="0" applyAlignment="1">
      <alignment horizontal="left" vertical="top" wrapText="1"/>
    </xf>
    <xf numFmtId="0" fontId="2" fillId="0" borderId="0" xfId="0" applyFont="1" applyAlignment="1">
      <alignment horizontal="left" vertical="top"/>
    </xf>
    <xf numFmtId="0" fontId="0" fillId="0" borderId="0" xfId="0" applyFill="1" applyAlignment="1">
      <alignment horizontal="left" vertical="top" wrapText="1"/>
    </xf>
    <xf numFmtId="0" fontId="0" fillId="3" borderId="0" xfId="0" applyFill="1" applyAlignment="1">
      <alignment horizontal="left" vertical="top" wrapText="1"/>
    </xf>
    <xf numFmtId="0" fontId="2" fillId="0" borderId="0" xfId="0" applyFont="1" applyAlignment="1">
      <alignment horizontal="left" vertical="top" wrapText="1"/>
    </xf>
    <xf numFmtId="0" fontId="0" fillId="0" borderId="0" xfId="0" applyBorder="1" applyAlignment="1">
      <alignment horizontal="left" vertical="top" wrapText="1"/>
    </xf>
    <xf numFmtId="0" fontId="0" fillId="0" borderId="0" xfId="0" applyAlignment="1">
      <alignment horizontal="left" vertical="top"/>
    </xf>
    <xf numFmtId="38" fontId="37" fillId="0" borderId="16" xfId="0" applyNumberFormat="1" applyFont="1" applyFill="1" applyBorder="1" applyAlignment="1">
      <alignment horizontal="left" vertical="center" wrapText="1"/>
    </xf>
    <xf numFmtId="38" fontId="37" fillId="0" borderId="17" xfId="0" applyNumberFormat="1" applyFont="1" applyFill="1" applyBorder="1" applyAlignment="1">
      <alignment horizontal="left" vertical="center" wrapText="1"/>
    </xf>
    <xf numFmtId="38" fontId="38" fillId="7" borderId="19" xfId="0" applyNumberFormat="1" applyFont="1" applyFill="1" applyBorder="1" applyAlignment="1">
      <alignment horizontal="center" vertical="center"/>
    </xf>
    <xf numFmtId="38" fontId="38" fillId="7" borderId="20" xfId="0" applyNumberFormat="1" applyFont="1" applyFill="1" applyBorder="1" applyAlignment="1">
      <alignment horizontal="center" vertical="center"/>
    </xf>
    <xf numFmtId="38" fontId="38" fillId="7" borderId="21" xfId="0" applyNumberFormat="1" applyFont="1" applyFill="1" applyBorder="1" applyAlignment="1">
      <alignment horizontal="center" vertical="center"/>
    </xf>
    <xf numFmtId="38" fontId="38" fillId="7" borderId="22" xfId="0" applyNumberFormat="1" applyFont="1" applyFill="1" applyBorder="1" applyAlignment="1">
      <alignment horizontal="center" vertical="top"/>
    </xf>
    <xf numFmtId="38" fontId="38" fillId="7" borderId="23" xfId="0" applyNumberFormat="1" applyFont="1" applyFill="1" applyBorder="1" applyAlignment="1">
      <alignment horizontal="center" vertical="top"/>
    </xf>
    <xf numFmtId="38" fontId="38" fillId="7" borderId="30" xfId="0" applyNumberFormat="1" applyFont="1" applyFill="1" applyBorder="1" applyAlignment="1">
      <alignment horizontal="center" vertical="center"/>
    </xf>
    <xf numFmtId="38" fontId="38" fillId="7" borderId="31" xfId="0" applyNumberFormat="1" applyFont="1" applyFill="1" applyBorder="1" applyAlignment="1">
      <alignment horizontal="center" vertical="center"/>
    </xf>
    <xf numFmtId="38" fontId="38" fillId="7" borderId="33" xfId="0" applyNumberFormat="1" applyFont="1" applyFill="1" applyBorder="1" applyAlignment="1">
      <alignment horizontal="center" vertical="center"/>
    </xf>
  </cellXfs>
  <cellStyles count="45">
    <cellStyle name="Comma" xfId="3" builtinId="3"/>
    <cellStyle name="Comma 2" xfId="9" xr:uid="{00000000-0005-0000-0000-000001000000}"/>
    <cellStyle name="Comma 3" xfId="10" xr:uid="{00000000-0005-0000-0000-000002000000}"/>
    <cellStyle name="Currency" xfId="1" builtinId="4"/>
    <cellStyle name="Currency 2" xfId="11" xr:uid="{00000000-0005-0000-0000-000004000000}"/>
    <cellStyle name="Currency 3" xfId="12" xr:uid="{00000000-0005-0000-0000-000005000000}"/>
    <cellStyle name="Normal" xfId="0" builtinId="0"/>
    <cellStyle name="Normal 10" xfId="13" xr:uid="{00000000-0005-0000-0000-000007000000}"/>
    <cellStyle name="Normal 11" xfId="14" xr:uid="{00000000-0005-0000-0000-000008000000}"/>
    <cellStyle name="Normal 12" xfId="15" xr:uid="{00000000-0005-0000-0000-000009000000}"/>
    <cellStyle name="Normal 13" xfId="16" xr:uid="{00000000-0005-0000-0000-00000A000000}"/>
    <cellStyle name="Normal 14" xfId="17" xr:uid="{00000000-0005-0000-0000-00000B000000}"/>
    <cellStyle name="Normal 15" xfId="18" xr:uid="{00000000-0005-0000-0000-00000C000000}"/>
    <cellStyle name="Normal 16" xfId="19" xr:uid="{00000000-0005-0000-0000-00000D000000}"/>
    <cellStyle name="Normal 17" xfId="20" xr:uid="{00000000-0005-0000-0000-00000E000000}"/>
    <cellStyle name="Normal 18" xfId="21" xr:uid="{00000000-0005-0000-0000-00000F000000}"/>
    <cellStyle name="Normal 19" xfId="22" xr:uid="{00000000-0005-0000-0000-000010000000}"/>
    <cellStyle name="Normal 2" xfId="6" xr:uid="{00000000-0005-0000-0000-000011000000}"/>
    <cellStyle name="Normal 2 2" xfId="8" xr:uid="{00000000-0005-0000-0000-000012000000}"/>
    <cellStyle name="Normal 2 3" xfId="7" xr:uid="{00000000-0005-0000-0000-000013000000}"/>
    <cellStyle name="Normal 20" xfId="23" xr:uid="{00000000-0005-0000-0000-000014000000}"/>
    <cellStyle name="Normal 21" xfId="24" xr:uid="{00000000-0005-0000-0000-000015000000}"/>
    <cellStyle name="Normal 22" xfId="25" xr:uid="{00000000-0005-0000-0000-000016000000}"/>
    <cellStyle name="Normal 23" xfId="26" xr:uid="{00000000-0005-0000-0000-000017000000}"/>
    <cellStyle name="Normal 24" xfId="27" xr:uid="{00000000-0005-0000-0000-000018000000}"/>
    <cellStyle name="Normal 25" xfId="28" xr:uid="{00000000-0005-0000-0000-000019000000}"/>
    <cellStyle name="Normal 26" xfId="29" xr:uid="{00000000-0005-0000-0000-00001A000000}"/>
    <cellStyle name="Normal 27" xfId="30" xr:uid="{00000000-0005-0000-0000-00001B000000}"/>
    <cellStyle name="Normal 28" xfId="31" xr:uid="{00000000-0005-0000-0000-00001C000000}"/>
    <cellStyle name="Normal 29" xfId="32" xr:uid="{00000000-0005-0000-0000-00001D000000}"/>
    <cellStyle name="Normal 3" xfId="33" xr:uid="{00000000-0005-0000-0000-00001E000000}"/>
    <cellStyle name="Normal 3 2" xfId="34" xr:uid="{00000000-0005-0000-0000-00001F000000}"/>
    <cellStyle name="Normal 4" xfId="5" xr:uid="{00000000-0005-0000-0000-000020000000}"/>
    <cellStyle name="Normal 4 2" xfId="36" xr:uid="{00000000-0005-0000-0000-000021000000}"/>
    <cellStyle name="Normal 4 3" xfId="35" xr:uid="{00000000-0005-0000-0000-000022000000}"/>
    <cellStyle name="Normal 5" xfId="37" xr:uid="{00000000-0005-0000-0000-000023000000}"/>
    <cellStyle name="Normal 5 2" xfId="38" xr:uid="{00000000-0005-0000-0000-000024000000}"/>
    <cellStyle name="Normal 6" xfId="39" xr:uid="{00000000-0005-0000-0000-000025000000}"/>
    <cellStyle name="Normal 7" xfId="40" xr:uid="{00000000-0005-0000-0000-000026000000}"/>
    <cellStyle name="Normal 8" xfId="41" xr:uid="{00000000-0005-0000-0000-000027000000}"/>
    <cellStyle name="Normal 9" xfId="42" xr:uid="{00000000-0005-0000-0000-000028000000}"/>
    <cellStyle name="Normal_Notes" xfId="2" xr:uid="{00000000-0005-0000-0000-000029000000}"/>
    <cellStyle name="Percent" xfId="4" builtinId="5"/>
    <cellStyle name="Percent 2" xfId="43" xr:uid="{00000000-0005-0000-0000-00002B000000}"/>
    <cellStyle name="Percent 3" xfId="44" xr:uid="{00000000-0005-0000-0000-00002C000000}"/>
  </cellStyles>
  <dxfs count="98">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scheme val="minor"/>
      </font>
    </dxf>
    <dxf>
      <font>
        <b val="0"/>
        <i val="0"/>
        <strike val="0"/>
        <condense val="0"/>
        <extend val="0"/>
        <outline val="0"/>
        <shadow val="0"/>
        <u val="none"/>
        <vertAlign val="baseline"/>
        <sz val="11"/>
        <color theme="1"/>
        <name val="Calibri"/>
        <scheme val="minor"/>
      </font>
    </dxf>
    <dxf>
      <font>
        <b val="0"/>
        <i val="0"/>
        <strike val="0"/>
        <condense val="0"/>
        <extend val="0"/>
        <outline val="0"/>
        <shadow val="0"/>
        <u val="none"/>
        <vertAlign val="baseline"/>
        <sz val="11"/>
        <color theme="1"/>
        <name val="Calibri"/>
        <scheme val="minor"/>
      </font>
    </dxf>
    <dxf>
      <font>
        <b val="0"/>
        <i val="0"/>
        <strike val="0"/>
        <condense val="0"/>
        <extend val="0"/>
        <outline val="0"/>
        <shadow val="0"/>
        <u val="none"/>
        <vertAlign val="baseline"/>
        <sz val="11"/>
        <color theme="1"/>
        <name val="Calibri"/>
        <scheme val="minor"/>
      </font>
    </dxf>
    <dxf>
      <font>
        <b val="0"/>
        <i val="0"/>
        <strike val="0"/>
        <condense val="0"/>
        <extend val="0"/>
        <outline val="0"/>
        <shadow val="0"/>
        <u val="none"/>
        <vertAlign val="baseline"/>
        <sz val="11"/>
        <color theme="1"/>
        <name val="Calibri"/>
        <scheme val="minor"/>
      </font>
    </dxf>
    <dxf>
      <font>
        <b val="0"/>
        <i val="0"/>
        <strike val="0"/>
        <condense val="0"/>
        <extend val="0"/>
        <outline val="0"/>
        <shadow val="0"/>
        <u val="none"/>
        <vertAlign val="baseline"/>
        <sz val="11"/>
        <color theme="1"/>
        <name val="Calibri"/>
        <scheme val="minor"/>
      </font>
    </dxf>
    <dxf>
      <font>
        <b val="0"/>
        <i val="0"/>
        <strike val="0"/>
        <condense val="0"/>
        <extend val="0"/>
        <outline val="0"/>
        <shadow val="0"/>
        <u val="none"/>
        <vertAlign val="baseline"/>
        <sz val="11"/>
        <color theme="1"/>
        <name val="Calibri"/>
        <scheme val="minor"/>
      </font>
    </dxf>
    <dxf>
      <font>
        <b val="0"/>
        <i val="0"/>
        <strike val="0"/>
        <condense val="0"/>
        <extend val="0"/>
        <outline val="0"/>
        <shadow val="0"/>
        <u val="none"/>
        <vertAlign val="baseline"/>
        <sz val="11"/>
        <color theme="1"/>
        <name val="Calibri"/>
        <scheme val="minor"/>
      </font>
    </dxf>
    <dxf>
      <font>
        <b val="0"/>
        <i val="0"/>
        <strike val="0"/>
        <condense val="0"/>
        <extend val="0"/>
        <outline val="0"/>
        <shadow val="0"/>
        <u val="none"/>
        <vertAlign val="baseline"/>
        <sz val="11"/>
        <color theme="1"/>
        <name val="Calibri"/>
        <scheme val="minor"/>
      </font>
    </dxf>
    <dxf>
      <font>
        <b val="0"/>
        <i val="0"/>
        <strike val="0"/>
        <condense val="0"/>
        <extend val="0"/>
        <outline val="0"/>
        <shadow val="0"/>
        <u val="none"/>
        <vertAlign val="baseline"/>
        <sz val="11"/>
        <color theme="1"/>
        <name val="Calibri"/>
        <scheme val="minor"/>
      </font>
    </dxf>
    <dxf>
      <font>
        <b val="0"/>
        <i val="0"/>
        <strike val="0"/>
        <condense val="0"/>
        <extend val="0"/>
        <outline val="0"/>
        <shadow val="0"/>
        <u val="none"/>
        <vertAlign val="baseline"/>
        <sz val="11"/>
        <color theme="1"/>
        <name val="Calibri"/>
        <scheme val="minor"/>
      </font>
    </dxf>
    <dxf>
      <font>
        <b val="0"/>
        <i val="0"/>
        <strike val="0"/>
        <condense val="0"/>
        <extend val="0"/>
        <outline val="0"/>
        <shadow val="0"/>
        <u val="none"/>
        <vertAlign val="baseline"/>
        <sz val="11"/>
        <color theme="1"/>
        <name val="Calibri"/>
        <scheme val="minor"/>
      </font>
    </dxf>
    <dxf>
      <font>
        <b val="0"/>
        <i val="0"/>
        <strike val="0"/>
        <condense val="0"/>
        <extend val="0"/>
        <outline val="0"/>
        <shadow val="0"/>
        <u val="none"/>
        <vertAlign val="baseline"/>
        <sz val="11"/>
        <color theme="1"/>
        <name val="Calibri"/>
        <scheme val="minor"/>
      </font>
    </dxf>
    <dxf>
      <font>
        <b val="0"/>
        <i val="0"/>
        <strike val="0"/>
        <condense val="0"/>
        <extend val="0"/>
        <outline val="0"/>
        <shadow val="0"/>
        <u val="none"/>
        <vertAlign val="baseline"/>
        <sz val="11"/>
        <color theme="1"/>
        <name val="Calibri"/>
        <scheme val="minor"/>
      </font>
    </dxf>
    <dxf>
      <font>
        <b val="0"/>
        <i val="0"/>
        <strike val="0"/>
        <condense val="0"/>
        <extend val="0"/>
        <outline val="0"/>
        <shadow val="0"/>
        <u val="none"/>
        <vertAlign val="baseline"/>
        <sz val="11"/>
        <color theme="1"/>
        <name val="Calibri"/>
        <scheme val="minor"/>
      </font>
    </dxf>
    <dxf>
      <font>
        <b val="0"/>
        <i val="0"/>
        <strike val="0"/>
        <condense val="0"/>
        <extend val="0"/>
        <outline val="0"/>
        <shadow val="0"/>
        <u val="none"/>
        <vertAlign val="baseline"/>
        <sz val="11"/>
        <color theme="1"/>
        <name val="Calibri"/>
        <scheme val="minor"/>
      </font>
    </dxf>
    <dxf>
      <font>
        <b val="0"/>
        <i val="0"/>
        <strike val="0"/>
        <condense val="0"/>
        <extend val="0"/>
        <outline val="0"/>
        <shadow val="0"/>
        <u val="none"/>
        <vertAlign val="baseline"/>
        <sz val="11"/>
        <color theme="1"/>
        <name val="Calibri"/>
        <scheme val="minor"/>
      </font>
    </dxf>
    <dxf>
      <font>
        <b val="0"/>
        <i val="0"/>
        <strike val="0"/>
        <condense val="0"/>
        <extend val="0"/>
        <outline val="0"/>
        <shadow val="0"/>
        <u val="none"/>
        <vertAlign val="baseline"/>
        <sz val="11"/>
        <color theme="1"/>
        <name val="Calibri"/>
        <scheme val="minor"/>
      </font>
    </dxf>
    <dxf>
      <font>
        <b val="0"/>
        <i val="0"/>
        <strike val="0"/>
        <condense val="0"/>
        <extend val="0"/>
        <outline val="0"/>
        <shadow val="0"/>
        <u val="none"/>
        <vertAlign val="baseline"/>
        <sz val="9"/>
        <color theme="1"/>
        <name val="Arial Unicode MS"/>
        <family val="2"/>
        <scheme val="none"/>
      </font>
      <numFmt numFmtId="8" formatCode="#,##0.00_);[Red]\(#,##0.00\)"/>
      <alignment horizontal="general" vertical="top" textRotation="0" wrapText="1" indent="0" justifyLastLine="0" shrinkToFit="0" readingOrder="0"/>
    </dxf>
    <dxf>
      <font>
        <b val="0"/>
        <i val="0"/>
        <strike val="0"/>
        <condense val="0"/>
        <extend val="0"/>
        <outline val="0"/>
        <shadow val="0"/>
        <u val="none"/>
        <vertAlign val="baseline"/>
        <sz val="9"/>
        <color theme="1"/>
        <name val="Arial Unicode MS"/>
        <family val="2"/>
        <scheme val="none"/>
      </font>
      <numFmt numFmtId="8" formatCode="#,##0.00_);[Red]\(#,##0.00\)"/>
      <alignment horizontal="general" vertical="top" textRotation="0" wrapText="1" indent="0" justifyLastLine="0" shrinkToFit="0" readingOrder="0"/>
    </dxf>
    <dxf>
      <font>
        <b val="0"/>
        <i val="0"/>
        <strike val="0"/>
        <condense val="0"/>
        <extend val="0"/>
        <outline val="0"/>
        <shadow val="0"/>
        <u val="none"/>
        <vertAlign val="baseline"/>
        <sz val="9"/>
        <color theme="1"/>
        <name val="Arial Unicode MS"/>
        <family val="2"/>
        <scheme val="none"/>
      </font>
      <numFmt numFmtId="8" formatCode="#,##0.00_);[Red]\(#,##0.00\)"/>
      <alignment horizontal="general" vertical="top" textRotation="0" wrapText="1" indent="0" justifyLastLine="0" shrinkToFit="0" readingOrder="0"/>
    </dxf>
    <dxf>
      <font>
        <b val="0"/>
        <i val="0"/>
        <strike val="0"/>
        <condense val="0"/>
        <extend val="0"/>
        <outline val="0"/>
        <shadow val="0"/>
        <u val="none"/>
        <vertAlign val="baseline"/>
        <sz val="9"/>
        <color theme="1"/>
        <name val="Arial Unicode MS"/>
        <family val="2"/>
        <scheme val="none"/>
      </font>
      <numFmt numFmtId="8" formatCode="#,##0.00_);[Red]\(#,##0.00\)"/>
      <alignment horizontal="general" vertical="top" textRotation="0" wrapText="1" indent="0" justifyLastLine="0" shrinkToFit="0" readingOrder="0"/>
    </dxf>
    <dxf>
      <font>
        <b val="0"/>
        <i val="0"/>
        <strike val="0"/>
        <condense val="0"/>
        <extend val="0"/>
        <outline val="0"/>
        <shadow val="0"/>
        <u val="none"/>
        <vertAlign val="baseline"/>
        <sz val="9"/>
        <color theme="1"/>
        <name val="Arial Unicode MS"/>
        <family val="2"/>
        <scheme val="none"/>
      </font>
      <numFmt numFmtId="8" formatCode="#,##0.00_);[Red]\(#,##0.00\)"/>
      <alignment horizontal="general" vertical="top" textRotation="0" wrapText="1" indent="0" justifyLastLine="0" shrinkToFit="0" readingOrder="0"/>
    </dxf>
    <dxf>
      <font>
        <b val="0"/>
        <i val="0"/>
        <strike val="0"/>
        <condense val="0"/>
        <extend val="0"/>
        <outline val="0"/>
        <shadow val="0"/>
        <u val="none"/>
        <vertAlign val="baseline"/>
        <sz val="9"/>
        <color auto="1"/>
        <name val="Arial Unicode MS"/>
        <family val="2"/>
        <scheme val="none"/>
      </font>
      <numFmt numFmtId="8" formatCode="#,##0.00_);[Red]\(#,##0.00\)"/>
      <alignment horizontal="general" vertical="top" textRotation="0" wrapText="1" indent="0" justifyLastLine="0" shrinkToFit="0" readingOrder="0"/>
    </dxf>
    <dxf>
      <font>
        <b val="0"/>
        <i val="0"/>
        <strike val="0"/>
        <condense val="0"/>
        <extend val="0"/>
        <outline val="0"/>
        <shadow val="0"/>
        <u val="none"/>
        <vertAlign val="baseline"/>
        <sz val="9"/>
        <color auto="1"/>
        <name val="Arial Unicode MS"/>
        <family val="2"/>
        <scheme val="none"/>
      </font>
      <numFmt numFmtId="8" formatCode="#,##0.00_);[Red]\(#,##0.00\)"/>
      <alignment horizontal="right" vertical="top" textRotation="0" wrapText="1" indent="0" justifyLastLine="0" shrinkToFit="0" readingOrder="0"/>
    </dxf>
    <dxf>
      <font>
        <b val="0"/>
        <i val="0"/>
        <strike val="0"/>
        <condense val="0"/>
        <extend val="0"/>
        <outline val="0"/>
        <shadow val="0"/>
        <u val="none"/>
        <vertAlign val="baseline"/>
        <sz val="9"/>
        <color auto="1"/>
        <name val="Arial Unicode MS"/>
        <family val="2"/>
        <scheme val="none"/>
      </font>
      <numFmt numFmtId="8" formatCode="#,##0.00_);[Red]\(#,##0.00\)"/>
      <alignment horizontal="general" vertical="top" textRotation="0" wrapText="1" indent="0" justifyLastLine="0" shrinkToFit="0" readingOrder="0"/>
    </dxf>
    <dxf>
      <font>
        <b val="0"/>
        <i val="0"/>
        <strike val="0"/>
        <condense val="0"/>
        <extend val="0"/>
        <outline val="0"/>
        <shadow val="0"/>
        <u val="none"/>
        <vertAlign val="baseline"/>
        <sz val="9"/>
        <color auto="1"/>
        <name val="Arial Unicode MS"/>
        <family val="2"/>
        <scheme val="none"/>
      </font>
      <numFmt numFmtId="164" formatCode="mm/dd/yy;@"/>
      <alignment horizontal="center" vertical="top" textRotation="0" wrapText="0" indent="0" justifyLastLine="0" shrinkToFit="0" readingOrder="0"/>
    </dxf>
    <dxf>
      <font>
        <b val="0"/>
        <i val="0"/>
        <strike val="0"/>
        <condense val="0"/>
        <extend val="0"/>
        <outline val="0"/>
        <shadow val="0"/>
        <u val="none"/>
        <vertAlign val="baseline"/>
        <sz val="9"/>
        <color auto="1"/>
        <name val="Arial Unicode MS"/>
        <family val="2"/>
        <scheme val="none"/>
      </font>
      <numFmt numFmtId="164" formatCode="mm/dd/yy;@"/>
      <alignment horizontal="center" vertical="top" textRotation="0" wrapText="0" indent="0" justifyLastLine="0" shrinkToFit="0" readingOrder="0"/>
    </dxf>
    <dxf>
      <font>
        <b val="0"/>
        <i val="0"/>
        <strike val="0"/>
        <condense val="0"/>
        <extend val="0"/>
        <outline val="0"/>
        <shadow val="0"/>
        <u val="none"/>
        <vertAlign val="baseline"/>
        <sz val="9"/>
        <color auto="1"/>
        <name val="Arial Unicode MS"/>
        <family val="2"/>
        <scheme val="none"/>
      </font>
      <numFmt numFmtId="164" formatCode="mm/dd/yy;@"/>
      <alignment horizontal="center" vertical="top" textRotation="0" wrapText="0" indent="0" justifyLastLine="0" shrinkToFit="0" readingOrder="0"/>
    </dxf>
    <dxf>
      <font>
        <b val="0"/>
        <i val="0"/>
        <strike val="0"/>
        <condense val="0"/>
        <extend val="0"/>
        <outline val="0"/>
        <shadow val="0"/>
        <u val="none"/>
        <vertAlign val="baseline"/>
        <sz val="9"/>
        <color auto="1"/>
        <name val="Arial Unicode MS"/>
        <family val="2"/>
        <scheme val="none"/>
      </font>
      <numFmt numFmtId="164" formatCode="mm/dd/yy;@"/>
      <alignment horizontal="center" vertical="top" textRotation="0" wrapText="0" indent="0" justifyLastLine="0" shrinkToFit="0" readingOrder="0"/>
    </dxf>
    <dxf>
      <font>
        <b val="0"/>
        <i val="0"/>
        <strike val="0"/>
        <condense val="0"/>
        <extend val="0"/>
        <outline val="0"/>
        <shadow val="0"/>
        <u val="none"/>
        <vertAlign val="baseline"/>
        <sz val="9"/>
        <color auto="1"/>
        <name val="Arial Unicode MS"/>
        <family val="2"/>
        <scheme val="none"/>
      </font>
      <numFmt numFmtId="164" formatCode="mm/dd/yy;@"/>
      <alignment horizontal="center" vertical="top" textRotation="0" wrapText="0" indent="0" justifyLastLine="0" shrinkToFit="0" readingOrder="0"/>
    </dxf>
    <dxf>
      <font>
        <b val="0"/>
        <i val="0"/>
        <strike val="0"/>
        <condense val="0"/>
        <extend val="0"/>
        <outline val="0"/>
        <shadow val="0"/>
        <u val="none"/>
        <vertAlign val="baseline"/>
        <sz val="9"/>
        <color auto="1"/>
        <name val="Arial Unicode MS"/>
        <family val="2"/>
        <scheme val="none"/>
      </font>
      <numFmt numFmtId="8" formatCode="#,##0.00_);[Red]\(#,##0.00\)"/>
      <alignment horizontal="left" vertical="top" textRotation="0" wrapText="1" indent="0" justifyLastLine="0" shrinkToFit="0" readingOrder="0"/>
    </dxf>
    <dxf>
      <font>
        <b val="0"/>
        <i val="0"/>
        <strike val="0"/>
        <condense val="0"/>
        <extend val="0"/>
        <outline val="0"/>
        <shadow val="0"/>
        <u val="none"/>
        <vertAlign val="baseline"/>
        <sz val="9"/>
        <color auto="1"/>
        <name val="Arial Unicode MS"/>
        <family val="2"/>
        <scheme val="none"/>
      </font>
      <numFmt numFmtId="8" formatCode="#,##0.00_);[Red]\(#,##0.00\)"/>
      <alignment horizontal="left" vertical="top" textRotation="0" wrapText="1" indent="0" justifyLastLine="0" shrinkToFit="0" readingOrder="0"/>
    </dxf>
    <dxf>
      <font>
        <b val="0"/>
        <i val="0"/>
        <strike val="0"/>
        <condense val="0"/>
        <extend val="0"/>
        <outline val="0"/>
        <shadow val="0"/>
        <u val="none"/>
        <vertAlign val="baseline"/>
        <sz val="9"/>
        <color auto="1"/>
        <name val="Arial Unicode MS"/>
        <family val="2"/>
        <scheme val="none"/>
      </font>
      <numFmt numFmtId="8" formatCode="#,##0.00_);[Red]\(#,##0.00\)"/>
      <alignment horizontal="left" vertical="top" textRotation="0" wrapText="1" indent="0" justifyLastLine="0" shrinkToFit="0" readingOrder="0"/>
    </dxf>
    <dxf>
      <font>
        <b val="0"/>
        <i val="0"/>
        <strike val="0"/>
        <condense val="0"/>
        <extend val="0"/>
        <outline val="0"/>
        <shadow val="0"/>
        <u val="none"/>
        <vertAlign val="baseline"/>
        <sz val="9"/>
        <color auto="1"/>
        <name val="Arial Unicode MS"/>
        <family val="2"/>
        <scheme val="none"/>
      </font>
      <numFmt numFmtId="8" formatCode="#,##0.00_);[Red]\(#,##0.00\)"/>
      <alignment horizontal="left" vertical="top" textRotation="0" wrapText="1" indent="0" justifyLastLine="0" shrinkToFit="0" readingOrder="0"/>
    </dxf>
    <dxf>
      <font>
        <b val="0"/>
        <i val="0"/>
        <strike val="0"/>
        <condense val="0"/>
        <extend val="0"/>
        <outline val="0"/>
        <shadow val="0"/>
        <u val="none"/>
        <vertAlign val="baseline"/>
        <sz val="9"/>
        <color theme="1"/>
        <name val="Arial Unicode MS"/>
        <family val="2"/>
        <scheme val="none"/>
      </font>
      <numFmt numFmtId="19" formatCode="m/d/yyyy"/>
      <alignment horizontal="left" vertical="top" textRotation="0" wrapText="1" indent="0" justifyLastLine="0" shrinkToFit="0" readingOrder="0"/>
    </dxf>
    <dxf>
      <font>
        <b val="0"/>
        <i val="0"/>
        <strike val="0"/>
        <condense val="0"/>
        <extend val="0"/>
        <outline val="0"/>
        <shadow val="0"/>
        <u val="none"/>
        <vertAlign val="baseline"/>
        <sz val="9"/>
        <color theme="1"/>
        <name val="Arial Unicode MS"/>
        <family val="2"/>
        <scheme val="none"/>
      </font>
      <numFmt numFmtId="19" formatCode="m/d/yyyy"/>
      <alignment horizontal="left" vertical="top" textRotation="0" wrapText="1" indent="0" justifyLastLine="0" shrinkToFit="0" readingOrder="0"/>
    </dxf>
    <dxf>
      <font>
        <b val="0"/>
        <i val="0"/>
        <strike val="0"/>
        <condense val="0"/>
        <extend val="0"/>
        <outline val="0"/>
        <shadow val="0"/>
        <u val="none"/>
        <vertAlign val="baseline"/>
        <sz val="9"/>
        <color theme="1"/>
        <name val="Arial Unicode MS"/>
        <family val="2"/>
        <scheme val="none"/>
      </font>
      <numFmt numFmtId="19" formatCode="m/d/yyyy"/>
      <alignment horizontal="left" vertical="top" textRotation="0" wrapText="1" indent="0" justifyLastLine="0" shrinkToFit="0" readingOrder="0"/>
    </dxf>
    <dxf>
      <font>
        <b val="0"/>
        <i val="0"/>
        <strike val="0"/>
        <condense val="0"/>
        <extend val="0"/>
        <outline val="0"/>
        <shadow val="0"/>
        <u val="none"/>
        <vertAlign val="baseline"/>
        <sz val="9"/>
        <color theme="1"/>
        <name val="Arial Unicode MS"/>
        <family val="2"/>
        <scheme val="none"/>
      </font>
      <numFmt numFmtId="19" formatCode="m/d/yyyy"/>
      <alignment horizontal="general" vertical="top" textRotation="0" wrapText="1" indent="0" justifyLastLine="0" shrinkToFit="0" readingOrder="0"/>
    </dxf>
    <dxf>
      <font>
        <b val="0"/>
        <i val="0"/>
        <strike val="0"/>
        <condense val="0"/>
        <extend val="0"/>
        <outline val="0"/>
        <shadow val="0"/>
        <u val="none"/>
        <vertAlign val="baseline"/>
        <sz val="9"/>
        <color theme="1"/>
        <name val="Arial Unicode MS"/>
        <family val="2"/>
        <scheme val="none"/>
      </font>
      <numFmt numFmtId="8" formatCode="#,##0.00_);[Red]\(#,##0.00\)"/>
      <alignment horizontal="general" vertical="top" textRotation="0" wrapText="1" indent="0" justifyLastLine="0" shrinkToFit="0" readingOrder="0"/>
    </dxf>
    <dxf>
      <font>
        <b val="0"/>
        <i val="0"/>
        <strike val="0"/>
        <condense val="0"/>
        <extend val="0"/>
        <outline val="0"/>
        <shadow val="0"/>
        <u val="none"/>
        <vertAlign val="baseline"/>
        <sz val="9"/>
        <color theme="1"/>
        <name val="Arial Unicode MS"/>
        <family val="2"/>
        <scheme val="none"/>
      </font>
      <numFmt numFmtId="8" formatCode="#,##0.00_);[Red]\(#,##0.00\)"/>
      <alignment horizontal="general" vertical="top" textRotation="0" wrapText="1" indent="0" justifyLastLine="0" shrinkToFit="0" readingOrder="0"/>
    </dxf>
    <dxf>
      <font>
        <b val="0"/>
        <i val="0"/>
        <strike val="0"/>
        <condense val="0"/>
        <extend val="0"/>
        <outline val="0"/>
        <shadow val="0"/>
        <u val="none"/>
        <vertAlign val="baseline"/>
        <sz val="9"/>
        <color theme="1"/>
        <name val="Arial Unicode MS"/>
        <family val="2"/>
        <scheme val="none"/>
      </font>
      <numFmt numFmtId="8" formatCode="#,##0.00_);[Red]\(#,##0.00\)"/>
      <alignment horizontal="general" vertical="top" textRotation="0" wrapText="1" indent="0" justifyLastLine="0" shrinkToFit="0" readingOrder="0"/>
    </dxf>
    <dxf>
      <font>
        <b val="0"/>
        <i val="0"/>
        <strike val="0"/>
        <condense val="0"/>
        <extend val="0"/>
        <outline val="0"/>
        <shadow val="0"/>
        <u val="none"/>
        <vertAlign val="baseline"/>
        <sz val="9"/>
        <color theme="1"/>
        <name val="Arial Unicode MS"/>
        <family val="2"/>
        <scheme val="none"/>
      </font>
      <numFmt numFmtId="8" formatCode="#,##0.00_);[Red]\(#,##0.00\)"/>
      <alignment horizontal="general" vertical="top" textRotation="0" wrapText="1" indent="0" justifyLastLine="0" shrinkToFit="0" readingOrder="0"/>
    </dxf>
    <dxf>
      <font>
        <b val="0"/>
        <i val="0"/>
        <strike val="0"/>
        <condense val="0"/>
        <extend val="0"/>
        <outline val="0"/>
        <shadow val="0"/>
        <u val="none"/>
        <vertAlign val="baseline"/>
        <sz val="9"/>
        <color theme="1"/>
        <name val="Arial Unicode MS"/>
        <family val="2"/>
        <scheme val="none"/>
      </font>
      <numFmt numFmtId="8" formatCode="#,##0.00_);[Red]\(#,##0.00\)"/>
      <alignment horizontal="general" vertical="top" textRotation="0" wrapText="1" indent="0" justifyLastLine="0" shrinkToFit="0" readingOrder="0"/>
    </dxf>
    <dxf>
      <font>
        <b val="0"/>
        <i val="0"/>
        <strike val="0"/>
        <condense val="0"/>
        <extend val="0"/>
        <outline val="0"/>
        <shadow val="0"/>
        <u val="none"/>
        <vertAlign val="baseline"/>
        <sz val="9"/>
        <color auto="1"/>
        <name val="Arial Unicode MS"/>
        <family val="2"/>
        <scheme val="none"/>
      </font>
      <numFmt numFmtId="8" formatCode="#,##0.00_);[Red]\(#,##0.00\)"/>
      <alignment horizontal="general" vertical="top" textRotation="0" wrapText="1" indent="0" justifyLastLine="0" shrinkToFit="0" readingOrder="0"/>
    </dxf>
    <dxf>
      <font>
        <b val="0"/>
        <i val="0"/>
        <strike val="0"/>
        <condense val="0"/>
        <extend val="0"/>
        <outline val="0"/>
        <shadow val="0"/>
        <u val="none"/>
        <vertAlign val="baseline"/>
        <sz val="9"/>
        <color auto="1"/>
        <name val="Arial Unicode MS"/>
        <family val="2"/>
        <scheme val="none"/>
      </font>
      <numFmt numFmtId="8" formatCode="#,##0.00_);[Red]\(#,##0.00\)"/>
      <alignment horizontal="general" vertical="top" textRotation="0" wrapText="1" indent="0" justifyLastLine="0" shrinkToFit="0" readingOrder="0"/>
    </dxf>
    <dxf>
      <font>
        <b val="0"/>
        <i val="0"/>
        <strike val="0"/>
        <condense val="0"/>
        <extend val="0"/>
        <outline val="0"/>
        <shadow val="0"/>
        <u val="none"/>
        <vertAlign val="baseline"/>
        <sz val="9"/>
        <color auto="1"/>
        <name val="Arial Unicode MS"/>
        <family val="2"/>
        <scheme val="none"/>
      </font>
      <numFmt numFmtId="8" formatCode="#,##0.00_);[Red]\(#,##0.00\)"/>
      <alignment horizontal="general" vertical="top" textRotation="0" wrapText="1" indent="0" justifyLastLine="0" shrinkToFit="0" readingOrder="0"/>
    </dxf>
    <dxf>
      <font>
        <b val="0"/>
        <i val="0"/>
        <strike val="0"/>
        <condense val="0"/>
        <extend val="0"/>
        <outline val="0"/>
        <shadow val="0"/>
        <u val="none"/>
        <vertAlign val="baseline"/>
        <sz val="9"/>
        <color auto="1"/>
        <name val="Arial Unicode MS"/>
        <family val="2"/>
        <scheme val="none"/>
      </font>
      <numFmt numFmtId="164" formatCode="mm/dd/yy;@"/>
      <alignment horizontal="center" vertical="top" textRotation="0" wrapText="1" indent="0" justifyLastLine="0" shrinkToFit="0" readingOrder="0"/>
    </dxf>
    <dxf>
      <font>
        <b val="0"/>
        <i val="0"/>
        <strike val="0"/>
        <condense val="0"/>
        <extend val="0"/>
        <outline val="0"/>
        <shadow val="0"/>
        <u val="none"/>
        <vertAlign val="baseline"/>
        <sz val="9"/>
        <color auto="1"/>
        <name val="Arial Unicode MS"/>
        <family val="2"/>
        <scheme val="none"/>
      </font>
      <numFmt numFmtId="164" formatCode="mm/dd/yy;@"/>
      <alignment horizontal="center" vertical="top" textRotation="0" wrapText="1" indent="0" justifyLastLine="0" shrinkToFit="0" readingOrder="0"/>
    </dxf>
    <dxf>
      <font>
        <b val="0"/>
        <i val="0"/>
        <strike val="0"/>
        <condense val="0"/>
        <extend val="0"/>
        <outline val="0"/>
        <shadow val="0"/>
        <u val="none"/>
        <vertAlign val="baseline"/>
        <sz val="9"/>
        <color auto="1"/>
        <name val="Arial Unicode MS"/>
        <family val="2"/>
        <scheme val="none"/>
      </font>
      <numFmt numFmtId="164" formatCode="mm/dd/yy;@"/>
      <alignment horizontal="center" vertical="top" textRotation="0" wrapText="1" indent="0" justifyLastLine="0" shrinkToFit="0" readingOrder="0"/>
    </dxf>
    <dxf>
      <font>
        <b val="0"/>
        <i val="0"/>
        <strike val="0"/>
        <condense val="0"/>
        <extend val="0"/>
        <outline val="0"/>
        <shadow val="0"/>
        <u val="none"/>
        <vertAlign val="baseline"/>
        <sz val="9"/>
        <color auto="1"/>
        <name val="Arial Unicode MS"/>
        <family val="2"/>
        <scheme val="none"/>
      </font>
      <numFmt numFmtId="164" formatCode="mm/dd/yy;@"/>
      <alignment horizontal="center" vertical="top" textRotation="0" wrapText="1" indent="0" justifyLastLine="0" shrinkToFit="0" readingOrder="0"/>
    </dxf>
    <dxf>
      <font>
        <b val="0"/>
        <i val="0"/>
        <strike val="0"/>
        <condense val="0"/>
        <extend val="0"/>
        <outline val="0"/>
        <shadow val="0"/>
        <u val="none"/>
        <vertAlign val="baseline"/>
        <sz val="9"/>
        <color auto="1"/>
        <name val="Arial Unicode MS"/>
        <family val="2"/>
        <scheme val="none"/>
      </font>
      <numFmt numFmtId="164" formatCode="mm/dd/yy;@"/>
      <alignment horizontal="center" vertical="top" textRotation="0" wrapText="1" indent="0" justifyLastLine="0" shrinkToFit="0" readingOrder="0"/>
    </dxf>
    <dxf>
      <font>
        <b val="0"/>
        <i val="0"/>
        <strike val="0"/>
        <condense val="0"/>
        <extend val="0"/>
        <outline val="0"/>
        <shadow val="0"/>
        <u val="none"/>
        <vertAlign val="baseline"/>
        <sz val="9"/>
        <color auto="1"/>
        <name val="Arial Unicode MS"/>
        <family val="2"/>
        <scheme val="none"/>
      </font>
      <numFmt numFmtId="8" formatCode="#,##0.00_);[Red]\(#,##0.00\)"/>
      <alignment horizontal="center" vertical="top" textRotation="0" wrapText="1" indent="0" justifyLastLine="0" shrinkToFit="0" readingOrder="0"/>
    </dxf>
    <dxf>
      <font>
        <b val="0"/>
        <i val="0"/>
        <strike val="0"/>
        <condense val="0"/>
        <extend val="0"/>
        <outline val="0"/>
        <shadow val="0"/>
        <u val="none"/>
        <vertAlign val="baseline"/>
        <sz val="9"/>
        <color auto="1"/>
        <name val="Arial Unicode MS"/>
        <family val="2"/>
        <scheme val="none"/>
      </font>
      <numFmt numFmtId="8" formatCode="#,##0.00_);[Red]\(#,##0.00\)"/>
      <alignment horizontal="center" vertical="top" textRotation="0" wrapText="1" indent="0" justifyLastLine="0" shrinkToFit="0" readingOrder="0"/>
    </dxf>
    <dxf>
      <font>
        <b val="0"/>
        <i val="0"/>
        <strike val="0"/>
        <condense val="0"/>
        <extend val="0"/>
        <outline val="0"/>
        <shadow val="0"/>
        <u val="none"/>
        <vertAlign val="baseline"/>
        <sz val="9"/>
        <color theme="1"/>
        <name val="Arial Unicode MS"/>
        <family val="2"/>
        <scheme val="none"/>
      </font>
      <numFmt numFmtId="8" formatCode="#,##0.00_);[Red]\(#,##0.00\)"/>
      <alignment horizontal="center" vertical="top" textRotation="0" wrapText="1" indent="0" justifyLastLine="0" shrinkToFit="0" readingOrder="0"/>
    </dxf>
    <dxf>
      <font>
        <b val="0"/>
        <i val="0"/>
        <strike val="0"/>
        <condense val="0"/>
        <extend val="0"/>
        <outline val="0"/>
        <shadow val="0"/>
        <u val="none"/>
        <vertAlign val="baseline"/>
        <sz val="9"/>
        <color auto="1"/>
        <name val="Arial Unicode MS"/>
        <family val="2"/>
        <scheme val="none"/>
      </font>
      <numFmt numFmtId="8" formatCode="#,##0.00_);[Red]\(#,##0.00\)"/>
      <alignment horizontal="left" vertical="top" textRotation="0" wrapText="1" indent="0" justifyLastLine="0" shrinkToFit="0" readingOrder="0"/>
    </dxf>
    <dxf>
      <font>
        <b val="0"/>
        <i val="0"/>
        <strike val="0"/>
        <condense val="0"/>
        <extend val="0"/>
        <outline val="0"/>
        <shadow val="0"/>
        <u val="none"/>
        <vertAlign val="baseline"/>
        <sz val="9"/>
        <color theme="1"/>
        <name val="Arial Unicode MS"/>
        <family val="2"/>
        <scheme val="none"/>
      </font>
      <numFmt numFmtId="8" formatCode="#,##0.00_);[Red]\(#,##0.00\)"/>
      <alignment horizontal="general" vertical="top" textRotation="0" wrapText="1" indent="0" justifyLastLine="0" shrinkToFit="0" readingOrder="0"/>
    </dxf>
    <dxf>
      <font>
        <b val="0"/>
        <i val="0"/>
        <strike val="0"/>
        <condense val="0"/>
        <extend val="0"/>
        <outline val="0"/>
        <shadow val="0"/>
        <u val="none"/>
        <vertAlign val="baseline"/>
        <sz val="9"/>
        <color theme="1"/>
        <name val="Arial Unicode MS"/>
        <family val="2"/>
        <scheme val="none"/>
      </font>
      <numFmt numFmtId="8" formatCode="#,##0.00_);[Red]\(#,##0.00\)"/>
      <alignment horizontal="general" vertical="top" textRotation="0" wrapText="1" indent="0" justifyLastLine="0" shrinkToFit="0" readingOrder="0"/>
    </dxf>
    <dxf>
      <font>
        <b val="0"/>
        <i val="0"/>
        <strike val="0"/>
        <condense val="0"/>
        <extend val="0"/>
        <outline val="0"/>
        <shadow val="0"/>
        <u val="none"/>
        <vertAlign val="baseline"/>
        <sz val="9"/>
        <color theme="1"/>
        <name val="Arial Unicode MS"/>
        <family val="2"/>
        <scheme val="none"/>
      </font>
      <numFmt numFmtId="8" formatCode="#,##0.00_);[Red]\(#,##0.00\)"/>
      <alignment horizontal="general" vertical="top" textRotation="0" wrapText="1" indent="0" justifyLastLine="0" shrinkToFit="0" readingOrder="0"/>
    </dxf>
    <dxf>
      <font>
        <b val="0"/>
        <i val="0"/>
        <strike val="0"/>
        <condense val="0"/>
        <extend val="0"/>
        <outline val="0"/>
        <shadow val="0"/>
        <u val="none"/>
        <vertAlign val="baseline"/>
        <sz val="9"/>
        <color theme="1"/>
        <name val="Arial Unicode MS"/>
        <family val="2"/>
        <scheme val="none"/>
      </font>
      <numFmt numFmtId="8" formatCode="#,##0.00_);[Red]\(#,##0.00\)"/>
      <alignment horizontal="general" vertical="top" textRotation="0" wrapText="1" indent="0" justifyLastLine="0" shrinkToFit="0" readingOrder="0"/>
    </dxf>
    <dxf>
      <border diagonalUp="0" diagonalDown="0">
        <left style="medium">
          <color indexed="64"/>
        </left>
        <right style="medium">
          <color indexed="64"/>
        </right>
        <top style="medium">
          <color indexed="64"/>
        </top>
        <bottom style="medium">
          <color indexed="64"/>
        </bottom>
      </border>
    </dxf>
    <dxf>
      <font>
        <b val="0"/>
        <i val="0"/>
        <strike val="0"/>
        <condense val="0"/>
        <extend val="0"/>
        <outline val="0"/>
        <shadow val="0"/>
        <u val="none"/>
        <vertAlign val="baseline"/>
        <sz val="11"/>
        <color theme="1"/>
        <name val="Calibri"/>
        <scheme val="minor"/>
      </font>
    </dxf>
    <dxf>
      <font>
        <b val="0"/>
        <i val="0"/>
        <strike val="0"/>
        <condense val="0"/>
        <extend val="0"/>
        <outline val="0"/>
        <shadow val="0"/>
        <u val="none"/>
        <vertAlign val="baseline"/>
        <sz val="11"/>
        <color theme="1"/>
        <name val="Calibri"/>
        <scheme val="minor"/>
      </font>
    </dxf>
    <dxf>
      <border>
        <top style="thin">
          <color indexed="64"/>
        </top>
      </border>
    </dxf>
    <dxf>
      <border diagonalUp="0" diagonalDown="0">
        <left style="medium">
          <color indexed="64"/>
        </left>
        <right style="medium">
          <color indexed="64"/>
        </right>
        <top style="medium">
          <color indexed="64"/>
        </top>
        <bottom style="medium">
          <color indexed="64"/>
        </bottom>
      </border>
    </dxf>
    <dxf>
      <border>
        <bottom style="thin">
          <color indexed="64"/>
        </bottom>
      </border>
    </dxf>
    <dxf>
      <border diagonalUp="0" diagonalDown="0">
        <left style="thin">
          <color indexed="64"/>
        </left>
        <right style="thin">
          <color indexed="64"/>
        </right>
        <top/>
        <bottom/>
        <vertical style="thin">
          <color indexed="64"/>
        </vertical>
        <horizontal style="thin">
          <color indexed="64"/>
        </horizontal>
      </border>
    </dxf>
    <dxf>
      <font>
        <b val="0"/>
        <i val="0"/>
        <strike val="0"/>
        <condense val="0"/>
        <extend val="0"/>
        <outline val="0"/>
        <shadow val="0"/>
        <u val="none"/>
        <vertAlign val="baseline"/>
        <sz val="9"/>
        <color theme="1"/>
        <name val="Arial Unicode MS"/>
        <scheme val="none"/>
      </font>
      <alignment horizontal="general" vertical="top" textRotation="0" wrapText="1" indent="0" justifyLastLine="0" shrinkToFit="0" readingOrder="0"/>
    </dxf>
    <dxf>
      <font>
        <b val="0"/>
        <i val="0"/>
        <strike val="0"/>
        <condense val="0"/>
        <extend val="0"/>
        <outline val="0"/>
        <shadow val="0"/>
        <u val="none"/>
        <vertAlign val="baseline"/>
        <sz val="9"/>
        <color theme="1"/>
        <name val="Arial Unicode MS"/>
        <scheme val="none"/>
      </font>
      <numFmt numFmtId="8" formatCode="#,##0.00_);[Red]\(#,##0.00\)"/>
      <alignment horizontal="center" vertical="center" textRotation="0" wrapText="1" indent="0" justifyLastLine="0" shrinkToFit="0" readingOrder="0"/>
    </dxf>
    <dxf>
      <border outline="0">
        <right style="thin">
          <color indexed="64"/>
        </right>
      </border>
    </dxf>
    <dxf>
      <font>
        <b val="0"/>
        <i val="0"/>
        <strike val="0"/>
        <condense val="0"/>
        <extend val="0"/>
        <outline val="0"/>
        <shadow val="0"/>
        <u val="none"/>
        <vertAlign val="baseline"/>
        <sz val="9"/>
        <color theme="1"/>
        <name val="Arial Unicode MS"/>
        <scheme val="none"/>
      </font>
      <alignment horizontal="center" vertical="bottom" textRotation="0" wrapText="0" indent="0" justifyLastLine="0" shrinkToFit="0" readingOrder="0"/>
    </dxf>
    <dxf>
      <font>
        <b val="0"/>
        <i val="0"/>
        <strike val="0"/>
        <condense val="0"/>
        <extend val="0"/>
        <outline val="0"/>
        <shadow val="0"/>
        <u val="none"/>
        <vertAlign val="baseline"/>
        <sz val="9"/>
        <color theme="1"/>
        <name val="Arial Unicode MS"/>
        <scheme val="none"/>
      </font>
      <numFmt numFmtId="165" formatCode="mm/dd/yyyy"/>
      <alignment horizontal="center" vertical="center" textRotation="0" wrapText="0" indent="0" justifyLastLine="0" shrinkToFit="0" readingOrder="0"/>
    </dxf>
    <dxf>
      <fill>
        <patternFill>
          <bgColor theme="4" tint="0.39994506668294322"/>
        </patternFill>
      </fill>
    </dxf>
    <dxf>
      <font>
        <b/>
        <i val="0"/>
      </font>
    </dxf>
    <dxf>
      <border>
        <left style="thin">
          <color auto="1"/>
        </left>
        <right style="thin">
          <color auto="1"/>
        </right>
        <top style="thin">
          <color auto="1"/>
        </top>
        <bottom style="thin">
          <color auto="1"/>
        </bottom>
        <vertical style="thin">
          <color auto="1"/>
        </vertical>
        <horizontal style="thin">
          <color auto="1"/>
        </horizontal>
      </border>
    </dxf>
    <dxf>
      <fill>
        <patternFill>
          <bgColor rgb="FFA2B9E2"/>
        </patternFill>
      </fill>
    </dxf>
    <dxf>
      <fill>
        <patternFill>
          <bgColor rgb="FFF4AF80"/>
        </patternFill>
      </fill>
    </dxf>
    <dxf>
      <fill>
        <patternFill>
          <bgColor rgb="FFCFB855"/>
        </patternFill>
      </fill>
    </dxf>
    <dxf>
      <border>
        <left style="thin">
          <color auto="1"/>
        </left>
        <right style="thin">
          <color auto="1"/>
        </right>
        <top style="thin">
          <color auto="1"/>
        </top>
        <bottom style="thin">
          <color auto="1"/>
        </bottom>
        <vertical style="thin">
          <color auto="1"/>
        </vertical>
        <horizontal style="thin">
          <color auto="1"/>
        </horizontal>
      </border>
    </dxf>
  </dxfs>
  <tableStyles count="4" defaultTableStyle="TableStyleMedium2" defaultPivotStyle="PivotStyleLight16">
    <tableStyle name="Table Style 1" pivot="0" count="2" xr9:uid="{00000000-0011-0000-FFFF-FFFF00000000}">
      <tableStyleElement type="wholeTable" dxfId="97"/>
      <tableStyleElement type="firstRowStripe" dxfId="96"/>
    </tableStyle>
    <tableStyle name="Table Style 2" pivot="0" count="1" xr9:uid="{00000000-0011-0000-FFFF-FFFF01000000}">
      <tableStyleElement type="firstRowStripe" dxfId="95"/>
    </tableStyle>
    <tableStyle name="Table Style 3" pivot="0" count="1" xr9:uid="{00000000-0011-0000-FFFF-FFFF02000000}">
      <tableStyleElement type="firstRowStripe" dxfId="94"/>
    </tableStyle>
    <tableStyle name="Table Style 4" pivot="0" count="3" xr9:uid="{00000000-0011-0000-FFFF-FFFF03000000}">
      <tableStyleElement type="wholeTable" dxfId="93"/>
      <tableStyleElement type="headerRow" dxfId="92"/>
      <tableStyleElement type="firstRowStripe" dxfId="91"/>
    </tableStyle>
  </tableStyles>
  <colors>
    <mruColors>
      <color rgb="FFCC99FF"/>
      <color rgb="FF9999FF"/>
      <color rgb="FFFABF8F"/>
      <color rgb="FFF2DCDB"/>
      <color rgb="FFACEAAC"/>
      <color rgb="FFC9FFF5"/>
      <color rgb="FFFFCCFF"/>
      <color rgb="FFDDD9C4"/>
      <color rgb="FFA2B9E2"/>
      <color rgb="FFF4AF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onnections" Target="connections.xml"/><Relationship Id="rId5"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oneCellAnchor>
    <xdr:from>
      <xdr:col>4</xdr:col>
      <xdr:colOff>947484</xdr:colOff>
      <xdr:row>3</xdr:row>
      <xdr:rowOff>211667</xdr:rowOff>
    </xdr:from>
    <xdr:ext cx="184731" cy="937629"/>
    <xdr:sp macro="" textlink="">
      <xdr:nvSpPr>
        <xdr:cNvPr id="2" name="Rectangle 1">
          <a:extLst>
            <a:ext uri="{FF2B5EF4-FFF2-40B4-BE49-F238E27FC236}">
              <a16:creationId xmlns:a16="http://schemas.microsoft.com/office/drawing/2014/main" id="{00000000-0008-0000-0000-000002000000}"/>
            </a:ext>
          </a:extLst>
        </xdr:cNvPr>
        <xdr:cNvSpPr/>
      </xdr:nvSpPr>
      <xdr:spPr>
        <a:xfrm>
          <a:off x="4578890" y="1068917"/>
          <a:ext cx="184731" cy="937629"/>
        </a:xfrm>
        <a:prstGeom prst="rect">
          <a:avLst/>
        </a:prstGeom>
        <a:noFill/>
      </xdr:spPr>
      <xdr:txBody>
        <a:bodyPr wrap="none" lIns="91440" tIns="45720" rIns="91440" bIns="45720">
          <a:spAutoFit/>
          <a:scene3d>
            <a:camera prst="orthographicFront"/>
            <a:lightRig rig="flat" dir="tl">
              <a:rot lat="0" lon="0" rev="6600000"/>
            </a:lightRig>
          </a:scene3d>
          <a:sp3d extrusionH="25400" contourW="8890">
            <a:bevelT w="38100" h="31750"/>
            <a:contourClr>
              <a:schemeClr val="accent2">
                <a:shade val="75000"/>
              </a:schemeClr>
            </a:contourClr>
          </a:sp3d>
        </a:bodyPr>
        <a:lstStyle/>
        <a:p>
          <a:pPr algn="ctr"/>
          <a:endParaRPr lang="en-US" sz="5400" b="1" cap="none" spc="0">
            <a:ln w="11430"/>
            <a:solidFill>
              <a:srgbClr val="FF0000"/>
            </a:solidFill>
            <a:effectLst>
              <a:outerShdw blurRad="50800" dist="39000" dir="5460000" algn="tl">
                <a:srgbClr val="000000">
                  <a:alpha val="38000"/>
                </a:srgbClr>
              </a:outerShdw>
            </a:effectLst>
          </a:endParaRPr>
        </a:p>
      </xdr:txBody>
    </xdr:sp>
    <xdr:clientData/>
  </xdr:oneCellAnchor>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Query from MS Access Database" growShrinkType="insertClear" adjustColumnWidth="0" connectionId="1" xr16:uid="{00000000-0016-0000-0000-000000000000}" autoFormatId="16" applyNumberFormats="0" applyBorderFormats="0" applyFontFormats="0" applyPatternFormats="0" applyAlignmentFormats="0" applyWidthHeightFormats="0">
  <queryTableRefresh nextId="22" unboundColumnsRight="2">
    <queryTableFields count="21">
      <queryTableField id="1" name="ADOT#" tableColumnId="1"/>
      <queryTableField id="2" name="TIP#" tableColumnId="2"/>
      <queryTableField id="3" name="Sponsor" tableColumnId="3"/>
      <queryTableField id="4" name="Action/15" tableColumnId="4"/>
      <queryTableField id="5" name="Location" tableColumnId="5"/>
      <queryTableField id="6" name="RTE" tableColumnId="6"/>
      <queryTableField id="7" name="SEC" tableColumnId="7"/>
      <queryTableField id="8" name="SEQ" tableColumnId="8"/>
      <queryTableField id="9" name="PB Expected" tableColumnId="9"/>
      <queryTableField id="10" name="PB Received" tableColumnId="10"/>
      <queryTableField id="11" name="PF Transmitted" tableColumnId="11"/>
      <queryTableField id="12" name="Finance Authorization" tableColumnId="12"/>
      <queryTableField id="13" name="HURF EX" tableColumnId="13"/>
      <queryTableField id="14" name="HSIP" tableColumnId="14"/>
      <queryTableField id="15" name="SPR" tableColumnId="15"/>
      <queryTableField id="16" name="STP &lt;5" tableColumnId="16"/>
      <queryTableField id="17" name="STP 5-200" tableColumnId="17"/>
      <queryTableField id="18" name="STP 5-50" tableColumnId="18"/>
      <queryTableField id="19" name="STP OTHER" tableColumnId="19"/>
      <queryTableField id="21" dataBound="0" tableColumnId="20"/>
      <queryTableField id="20" dataBound="0" tableColumnId="21"/>
    </queryTableFields>
  </queryTableRefresh>
</queryTable>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Query from MS Access Database_1" growShrinkType="insertClear" adjustColumnWidth="0" connectionId="4" xr16:uid="{00000000-0016-0000-0000-000001000000}" autoFormatId="16" applyNumberFormats="0" applyBorderFormats="0" applyFontFormats="0" applyPatternFormats="0" applyAlignmentFormats="0" applyWidthHeightFormats="0">
  <queryTableRefresh nextId="22" unboundColumnsRight="2">
    <queryTableFields count="21">
      <queryTableField id="1" name="ADOT#" tableColumnId="1"/>
      <queryTableField id="2" name="TIP#" tableColumnId="2"/>
      <queryTableField id="3" name="Sponsor" tableColumnId="3"/>
      <queryTableField id="4" name="Action/15" tableColumnId="4"/>
      <queryTableField id="5" name="Location" tableColumnId="5"/>
      <queryTableField id="6" name="RTE" tableColumnId="6"/>
      <queryTableField id="7" name="SEC" tableColumnId="7"/>
      <queryTableField id="8" name="SEQ" tableColumnId="8"/>
      <queryTableField id="9" name="PB Expected" tableColumnId="9"/>
      <queryTableField id="10" name="PB Received" tableColumnId="10"/>
      <queryTableField id="11" name="PF Transmitted" tableColumnId="11"/>
      <queryTableField id="12" name="Finance Authorization" tableColumnId="12"/>
      <queryTableField id="13" name="HURF EX" tableColumnId="13"/>
      <queryTableField id="14" name="HSIP" tableColumnId="14"/>
      <queryTableField id="15" name="SPR" tableColumnId="15"/>
      <queryTableField id="16" name="STP &lt;5" tableColumnId="16"/>
      <queryTableField id="17" name="STP 5-200" tableColumnId="17"/>
      <queryTableField id="18" name="STP 5-50" tableColumnId="18"/>
      <queryTableField id="19" name="STP OTHER" tableColumnId="19"/>
      <queryTableField id="21" dataBound="0" tableColumnId="20"/>
      <queryTableField id="20" dataBound="0" tableColumnId="21"/>
    </queryTableFields>
  </queryTableRefresh>
</queryTable>
</file>

<file path=xl/queryTables/queryTable3.xml><?xml version="1.0" encoding="utf-8"?>
<queryTable xmlns="http://schemas.openxmlformats.org/spreadsheetml/2006/main" xmlns:mc="http://schemas.openxmlformats.org/markup-compatibility/2006" xmlns:xr16="http://schemas.microsoft.com/office/spreadsheetml/2017/revision16" mc:Ignorable="xr16" name="Query from MS Access Database" growShrinkType="insertClear" adjustColumnWidth="0" connectionId="2" xr16:uid="{00000000-0016-0000-0100-000002000000}" autoFormatId="16" applyNumberFormats="0" applyBorderFormats="0" applyFontFormats="0" applyPatternFormats="0" applyAlignmentFormats="0" applyWidthHeightFormats="0">
  <queryTableRefresh preserveSortFilterLayout="0" nextId="20" unboundColumnsRight="2">
    <queryTableFields count="19">
      <queryTableField id="1" name="Transaction Year" tableColumnId="1"/>
      <queryTableField id="2" name="Transaction Type" tableColumnId="2"/>
      <queryTableField id="3" name="Number" tableColumnId="3"/>
      <queryTableField id="4" name="From" tableColumnId="4"/>
      <queryTableField id="5" name="To" tableColumnId="5"/>
      <queryTableField id="6" name="Repayment Year" tableColumnId="6"/>
      <queryTableField id="7" name="Project8" tableColumnId="7"/>
      <queryTableField id="8" name="Notes" tableColumnId="8"/>
      <queryTableField id="9" name="Total" tableColumnId="9"/>
      <queryTableField id="10" name="HURF Exchange" tableColumnId="10"/>
      <queryTableField id="11" name="HSIP" tableColumnId="11"/>
      <queryTableField id="12" name="SPR" tableColumnId="12"/>
      <queryTableField id="13" name="STP &lt;5" tableColumnId="13"/>
      <queryTableField id="14" name="STP 5-2" tableColumnId="14"/>
      <queryTableField id="15" name="STP 5-50" tableColumnId="15"/>
      <queryTableField id="16" name="STP Flex" tableColumnId="16"/>
      <queryTableField id="17" name="TAP Flex" tableColumnId="17"/>
      <queryTableField id="18" dataBound="0" tableColumnId="18"/>
      <queryTableField id="19" dataBound="0" tableColumnId="19"/>
    </queryTableFields>
  </queryTableRefresh>
</queryTable>
</file>

<file path=xl/queryTables/queryTable4.xml><?xml version="1.0" encoding="utf-8"?>
<queryTable xmlns="http://schemas.openxmlformats.org/spreadsheetml/2006/main" xmlns:mc="http://schemas.openxmlformats.org/markup-compatibility/2006" xmlns:xr16="http://schemas.microsoft.com/office/spreadsheetml/2017/revision16" mc:Ignorable="xr16" name="Query from MS Access Database_1" growShrinkType="insertClear" adjustColumnWidth="0" connectionId="3" xr16:uid="{00000000-0016-0000-0100-000003000000}" autoFormatId="16" applyNumberFormats="0" applyBorderFormats="0" applyFontFormats="0" applyPatternFormats="0" applyAlignmentFormats="0" applyWidthHeightFormats="0">
  <queryTableRefresh preserveSortFilterLayout="0" nextId="19" unboundColumnsRight="1">
    <queryTableFields count="18">
      <queryTableField id="1" name="Transaction Year" tableColumnId="1"/>
      <queryTableField id="2" name="Transaction Type" tableColumnId="2"/>
      <queryTableField id="3" name="Number" tableColumnId="3"/>
      <queryTableField id="4" name="From" tableColumnId="4"/>
      <queryTableField id="5" name="To" tableColumnId="5"/>
      <queryTableField id="6" name="Repayment Year" tableColumnId="6"/>
      <queryTableField id="7" name="Project8" tableColumnId="7"/>
      <queryTableField id="8" name="Notes" tableColumnId="8"/>
      <queryTableField id="9" name="Total" tableColumnId="9"/>
      <queryTableField id="10" name="HURF Exchange" tableColumnId="10"/>
      <queryTableField id="11" name="HSIP" tableColumnId="11"/>
      <queryTableField id="12" name="SPR" tableColumnId="12"/>
      <queryTableField id="13" name="STP &lt;5" tableColumnId="13"/>
      <queryTableField id="14" name="STP 5-2" tableColumnId="14"/>
      <queryTableField id="15" name="STP 5-50" tableColumnId="15"/>
      <queryTableField id="16" name="STP Flex" tableColumnId="16"/>
      <queryTableField id="17" name="TAP Flex" tableColumnId="17"/>
      <queryTableField id="18" dataBound="0" tableColumnId="18"/>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_rels/table3.xml.rels><?xml version="1.0" encoding="UTF-8" standalone="yes"?>
<Relationships xmlns="http://schemas.openxmlformats.org/package/2006/relationships"><Relationship Id="rId1" Type="http://schemas.openxmlformats.org/officeDocument/2006/relationships/queryTable" Target="../queryTables/queryTable3.xml"/></Relationships>
</file>

<file path=xl/tables/_rels/table4.xml.rels><?xml version="1.0" encoding="UTF-8" standalone="yes"?>
<Relationships xmlns="http://schemas.openxmlformats.org/package/2006/relationships"><Relationship Id="rId1" Type="http://schemas.openxmlformats.org/officeDocument/2006/relationships/queryTable" Target="../queryTables/queryTable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0000000}" name="Table_Query_from_MS_Access_Database8" displayName="Table_Query_from_MS_Access_Database8" ref="A15:U16" tableType="queryTable" totalsRowShown="0" headerRowDxfId="90" dataDxfId="89" tableBorderDxfId="88">
  <autoFilter ref="A15:U16" xr:uid="{00000000-0009-0000-0100-000007000000}"/>
  <tableColumns count="21">
    <tableColumn id="1" xr3:uid="{00000000-0010-0000-0000-000001000000}" uniqueName="1" name="ADOT#" queryTableFieldId="1" dataDxfId="57"/>
    <tableColumn id="2" xr3:uid="{00000000-0010-0000-0000-000002000000}" uniqueName="2" name="TIP#" queryTableFieldId="2" dataDxfId="56"/>
    <tableColumn id="3" xr3:uid="{00000000-0010-0000-0000-000003000000}" uniqueName="3" name="Sponsor" queryTableFieldId="3" dataDxfId="55"/>
    <tableColumn id="4" xr3:uid="{00000000-0010-0000-0000-000004000000}" uniqueName="4" name="Action/15" queryTableFieldId="4" dataDxfId="54"/>
    <tableColumn id="5" xr3:uid="{00000000-0010-0000-0000-000005000000}" uniqueName="5" name="Location" queryTableFieldId="5" dataDxfId="53"/>
    <tableColumn id="6" xr3:uid="{00000000-0010-0000-0000-000006000000}" uniqueName="6" name="RTE" queryTableFieldId="6" dataDxfId="52"/>
    <tableColumn id="7" xr3:uid="{00000000-0010-0000-0000-000007000000}" uniqueName="7" name="SEC" queryTableFieldId="7" dataDxfId="51"/>
    <tableColumn id="8" xr3:uid="{00000000-0010-0000-0000-000008000000}" uniqueName="8" name="SEQ" queryTableFieldId="8" dataDxfId="50"/>
    <tableColumn id="9" xr3:uid="{00000000-0010-0000-0000-000009000000}" uniqueName="9" name="PB Expected" queryTableFieldId="9" dataDxfId="49"/>
    <tableColumn id="10" xr3:uid="{00000000-0010-0000-0000-00000A000000}" uniqueName="10" name="PB Received" queryTableFieldId="10" dataDxfId="48"/>
    <tableColumn id="11" xr3:uid="{00000000-0010-0000-0000-00000B000000}" uniqueName="11" name="PF Transmitted" queryTableFieldId="11" dataDxfId="47"/>
    <tableColumn id="12" xr3:uid="{00000000-0010-0000-0000-00000C000000}" uniqueName="12" name="Finance Authorization" queryTableFieldId="12" dataDxfId="46"/>
    <tableColumn id="13" xr3:uid="{00000000-0010-0000-0000-00000D000000}" uniqueName="13" name="HURF EX" queryTableFieldId="13" dataDxfId="45"/>
    <tableColumn id="14" xr3:uid="{00000000-0010-0000-0000-00000E000000}" uniqueName="14" name="HSIP" queryTableFieldId="14" dataDxfId="44"/>
    <tableColumn id="15" xr3:uid="{00000000-0010-0000-0000-00000F000000}" uniqueName="15" name="SPR" queryTableFieldId="15" dataDxfId="43"/>
    <tableColumn id="16" xr3:uid="{00000000-0010-0000-0000-000010000000}" uniqueName="16" name="STP &lt;5" queryTableFieldId="16" dataDxfId="42"/>
    <tableColumn id="17" xr3:uid="{00000000-0010-0000-0000-000011000000}" uniqueName="17" name="STP 5-200" queryTableFieldId="17" dataDxfId="41"/>
    <tableColumn id="18" xr3:uid="{00000000-0010-0000-0000-000012000000}" uniqueName="18" name="STP 5-50" queryTableFieldId="18" dataDxfId="40"/>
    <tableColumn id="19" xr3:uid="{00000000-0010-0000-0000-000013000000}" uniqueName="19" name="STP OTHER" queryTableFieldId="19" dataDxfId="39"/>
    <tableColumn id="20" xr3:uid="{00000000-0010-0000-0000-000014000000}" uniqueName="20" name="TOTAL OF AMOUNT" queryTableFieldId="21" dataDxfId="38">
      <calculatedColumnFormula>SUM(Table_Query_from_MS_Access_Database8[[#This Row],[HURF EX]:[STP OTHER]])</calculatedColumnFormula>
    </tableColumn>
    <tableColumn id="21" xr3:uid="{00000000-0010-0000-0000-000015000000}" uniqueName="21" name="DECLINING BALANCE OA" queryTableFieldId="20" dataDxfId="37">
      <calculatedColumnFormula>IF(ISTEXT(INDIRECT(ADDRESS(ROW()-1,COLUMN()))), INDIRECT(ADDRESS(12,COLUMN())),INDIRECT(ADDRESS(ROW()-1,COLUMN())))-Table_Query_from_MS_Access_Database8[[#This Row],[TOTAL OF AMOUNT]]</calculatedColumnFormula>
    </tableColumn>
  </tableColumns>
  <tableStyleInfo name="Table Style 4"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1000000}" name="Table_Query_from_MS_Access_Database_1" displayName="Table_Query_from_MS_Access_Database_1" ref="A27:U30" tableType="queryTable" totalsRowShown="0" headerRowDxfId="87" dataDxfId="86">
  <autoFilter ref="A27:U30" xr:uid="{00000000-0009-0000-0100-000008000000}"/>
  <tableColumns count="21">
    <tableColumn id="1" xr3:uid="{00000000-0010-0000-0100-000001000000}" uniqueName="1" name="ADOT#" queryTableFieldId="1" dataDxfId="78"/>
    <tableColumn id="2" xr3:uid="{00000000-0010-0000-0100-000002000000}" uniqueName="2" name="TIP#" queryTableFieldId="2" dataDxfId="77"/>
    <tableColumn id="3" xr3:uid="{00000000-0010-0000-0100-000003000000}" uniqueName="3" name="Sponsor" queryTableFieldId="3" dataDxfId="76"/>
    <tableColumn id="4" xr3:uid="{00000000-0010-0000-0100-000004000000}" uniqueName="4" name="Action/15" queryTableFieldId="4" dataDxfId="75"/>
    <tableColumn id="5" xr3:uid="{00000000-0010-0000-0100-000005000000}" uniqueName="5" name="Location" queryTableFieldId="5" dataDxfId="74"/>
    <tableColumn id="6" xr3:uid="{00000000-0010-0000-0100-000006000000}" uniqueName="6" name="RTE" queryTableFieldId="6" dataDxfId="73"/>
    <tableColumn id="7" xr3:uid="{00000000-0010-0000-0100-000007000000}" uniqueName="7" name="SEC" queryTableFieldId="7" dataDxfId="72"/>
    <tableColumn id="8" xr3:uid="{00000000-0010-0000-0100-000008000000}" uniqueName="8" name="SEQ" queryTableFieldId="8" dataDxfId="71"/>
    <tableColumn id="9" xr3:uid="{00000000-0010-0000-0100-000009000000}" uniqueName="9" name="PB Expected" queryTableFieldId="9" dataDxfId="70"/>
    <tableColumn id="10" xr3:uid="{00000000-0010-0000-0100-00000A000000}" uniqueName="10" name="PB Received" queryTableFieldId="10" dataDxfId="69"/>
    <tableColumn id="11" xr3:uid="{00000000-0010-0000-0100-00000B000000}" uniqueName="11" name="PF Transmitted" queryTableFieldId="11" dataDxfId="68"/>
    <tableColumn id="12" xr3:uid="{00000000-0010-0000-0100-00000C000000}" uniqueName="12" name="Finance Authorization" queryTableFieldId="12" dataDxfId="67"/>
    <tableColumn id="13" xr3:uid="{00000000-0010-0000-0100-00000D000000}" uniqueName="13" name="HURF EX" queryTableFieldId="13" dataDxfId="66"/>
    <tableColumn id="14" xr3:uid="{00000000-0010-0000-0100-00000E000000}" uniqueName="14" name="HSIP" queryTableFieldId="14" dataDxfId="65"/>
    <tableColumn id="15" xr3:uid="{00000000-0010-0000-0100-00000F000000}" uniqueName="15" name="SPR" queryTableFieldId="15" dataDxfId="64"/>
    <tableColumn id="16" xr3:uid="{00000000-0010-0000-0100-000010000000}" uniqueName="16" name="STP &lt;5" queryTableFieldId="16" dataDxfId="63"/>
    <tableColumn id="17" xr3:uid="{00000000-0010-0000-0100-000011000000}" uniqueName="17" name="STP 5-200" queryTableFieldId="17" dataDxfId="62"/>
    <tableColumn id="18" xr3:uid="{00000000-0010-0000-0100-000012000000}" uniqueName="18" name="STP 5-50" queryTableFieldId="18" dataDxfId="61"/>
    <tableColumn id="19" xr3:uid="{00000000-0010-0000-0100-000013000000}" uniqueName="19" name="STP OTHER" queryTableFieldId="19" dataDxfId="60"/>
    <tableColumn id="20" xr3:uid="{00000000-0010-0000-0100-000014000000}" uniqueName="20" name="TOTAL OF AMOUNT" queryTableFieldId="21" dataDxfId="59">
      <calculatedColumnFormula>SUM(Table_Query_from_MS_Access_Database_1[[#This Row],[HURF EX]:[STP OTHER]])</calculatedColumnFormula>
    </tableColumn>
    <tableColumn id="21" xr3:uid="{00000000-0010-0000-0100-000015000000}" uniqueName="21" name="EXPECTED DECLINING BALANCE OA" queryTableFieldId="20" dataDxfId="58">
      <calculatedColumnFormula>IF(ISTEXT(INDIRECT(ADDRESS(ROW()-1,COLUMN()))),INDIRECT(ADDRESS(12,COLUMN()))-SUM(Table_Query_from_MS_Access_Database8[TOTAL OF AMOUNT]),INDIRECT(ADDRESS(ROW()-1,COLUMN())))-Table_Query_from_MS_Access_Database_1[[#This Row],[TOTAL OF AMOUNT]]</calculatedColumnFormula>
    </tableColumn>
  </tableColumns>
  <tableStyleInfo name="Table Style 4"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2000000}" name="Table_Query_from_MS_Access_Database" displayName="Table_Query_from_MS_Access_Database" ref="A11:S90" tableType="queryTable" totalsRowShown="0" headerRowDxfId="85" headerRowBorderDxfId="84" tableBorderDxfId="83" totalsRowBorderDxfId="82" headerRowCellStyle="Comma" dataCellStyle="Comma">
  <autoFilter ref="A11:S90" xr:uid="{EC333E68-B9D0-46DD-A951-7E84D2E83B82}"/>
  <tableColumns count="19">
    <tableColumn id="1" xr3:uid="{28D4BBB4-2E2E-4F8F-B613-1509FA265999}" uniqueName="1" name="Transaction Year" queryTableFieldId="1" dataDxfId="18" dataCellStyle="Comma"/>
    <tableColumn id="2" xr3:uid="{533B2086-B999-4426-9AD6-63F5C46C41F8}" uniqueName="2" name="Transaction Type" queryTableFieldId="2" dataDxfId="17" dataCellStyle="Comma"/>
    <tableColumn id="3" xr3:uid="{289781E2-E0B3-40FC-B1C8-501140F81859}" uniqueName="3" name="Number" queryTableFieldId="3" dataDxfId="16" dataCellStyle="Comma"/>
    <tableColumn id="4" xr3:uid="{34D32330-5368-4C2F-8EEC-F93F2F0AD1E0}" uniqueName="4" name="From" queryTableFieldId="4" dataDxfId="15" dataCellStyle="Comma"/>
    <tableColumn id="5" xr3:uid="{874F6DC8-A07C-48DB-8A28-9E515B20679A}" uniqueName="5" name="To" queryTableFieldId="5" dataDxfId="14" dataCellStyle="Comma"/>
    <tableColumn id="6" xr3:uid="{54274445-6D76-46C7-A2BC-E994E28D84AA}" uniqueName="6" name="Repayment Year" queryTableFieldId="6" dataDxfId="13" dataCellStyle="Comma"/>
    <tableColumn id="7" xr3:uid="{987BA05A-EE69-45C2-9555-3D2BF8569565}" uniqueName="7" name="Project8" queryTableFieldId="7" dataDxfId="12" dataCellStyle="Comma"/>
    <tableColumn id="8" xr3:uid="{3DDC4FE8-C6AE-4DC3-A0E5-D07E81AB2F32}" uniqueName="8" name="Notes" queryTableFieldId="8" dataDxfId="11" dataCellStyle="Comma"/>
    <tableColumn id="9" xr3:uid="{0D43F0F8-61DE-48FB-87B6-D9CDE5E54CD7}" uniqueName="9" name="Total" queryTableFieldId="9" dataDxfId="10" dataCellStyle="Comma"/>
    <tableColumn id="10" xr3:uid="{325D154E-BC29-4B4F-9118-DE5A7C45325B}" uniqueName="10" name="HURF Exchange" queryTableFieldId="10" dataDxfId="9" dataCellStyle="Comma"/>
    <tableColumn id="11" xr3:uid="{5264C366-1D94-4358-9D62-C8291126B1E9}" uniqueName="11" name="HSIP" queryTableFieldId="11" dataDxfId="8" dataCellStyle="Comma"/>
    <tableColumn id="12" xr3:uid="{85E96E25-B796-4C0F-8646-D9AFC4DCA7D8}" uniqueName="12" name="SPR" queryTableFieldId="12" dataDxfId="7" dataCellStyle="Comma"/>
    <tableColumn id="13" xr3:uid="{2CAE0E6B-6B9F-4E7B-B233-00E8CAA679EA}" uniqueName="13" name="STP &lt;5" queryTableFieldId="13" dataDxfId="6" dataCellStyle="Comma"/>
    <tableColumn id="14" xr3:uid="{3670BCC4-B824-4460-9A75-0F3E99F7B438}" uniqueName="14" name="STP 5-2" queryTableFieldId="14" dataDxfId="5" dataCellStyle="Comma"/>
    <tableColumn id="15" xr3:uid="{AB576971-81CD-4052-92B8-B6512BF555AF}" uniqueName="15" name="STP 5-50" queryTableFieldId="15" dataDxfId="4" dataCellStyle="Comma"/>
    <tableColumn id="16" xr3:uid="{71B93DE7-9FE8-461F-962C-806D5CF4C2CA}" uniqueName="16" name="STP Flex" queryTableFieldId="16" dataDxfId="3" dataCellStyle="Comma"/>
    <tableColumn id="17" xr3:uid="{654C1573-3058-4DA2-9DF8-0E35BAFF24E5}" uniqueName="17" name="TAP Flex" queryTableFieldId="17" dataDxfId="2" dataCellStyle="Comma"/>
    <tableColumn id="18" xr3:uid="{DFB6DE02-D437-4782-9A57-3A7C03ADAA9E}" uniqueName="18" name="Column1" queryTableFieldId="18" dataDxfId="1" dataCellStyle="Comma"/>
    <tableColumn id="19" xr3:uid="{620BBED9-161B-4EAD-92CB-FB421A11E642}" uniqueName="19" name="Column2" queryTableFieldId="19" dataDxfId="0" dataCellStyle="Comma"/>
  </tableColumns>
  <tableStyleInfo name="Table Style 4"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3000000}" name="Table_Query_from_MS_Access_Database_16" displayName="Table_Query_from_MS_Access_Database_16" ref="A93:R173" tableType="queryTable" totalsRowShown="0" headerRowDxfId="81" dataDxfId="80" tableBorderDxfId="79" headerRowCellStyle="Comma" dataCellStyle="Comma">
  <autoFilter ref="A93:R173" xr:uid="{3E949AAC-F95B-4760-B376-B1F7E78F1EFB}"/>
  <tableColumns count="18">
    <tableColumn id="1" xr3:uid="{3FEAB8BA-CE28-41BB-8BE8-F53D2C0D6A99}" uniqueName="1" name="Transaction Year" queryTableFieldId="1" dataDxfId="36" dataCellStyle="Comma"/>
    <tableColumn id="2" xr3:uid="{DCF13AB6-DFCE-4EB7-8177-A65951D4D9C9}" uniqueName="2" name="Transaction Type" queryTableFieldId="2" dataDxfId="35" dataCellStyle="Comma"/>
    <tableColumn id="3" xr3:uid="{B96056E2-2D58-41C0-92C3-9EDA4B241CF2}" uniqueName="3" name="Number" queryTableFieldId="3" dataDxfId="34" dataCellStyle="Comma"/>
    <tableColumn id="4" xr3:uid="{DA2FC0D9-4C8F-41CF-A0C1-16EFCD50791A}" uniqueName="4" name="From" queryTableFieldId="4" dataDxfId="33" dataCellStyle="Comma"/>
    <tableColumn id="5" xr3:uid="{2C1E2953-E572-4555-9A3A-48F3C70794E7}" uniqueName="5" name="To" queryTableFieldId="5" dataDxfId="32" dataCellStyle="Comma"/>
    <tableColumn id="6" xr3:uid="{29F6600E-BE30-45E7-8BB6-44279E79EA35}" uniqueName="6" name="Repayment Year" queryTableFieldId="6" dataDxfId="31" dataCellStyle="Comma"/>
    <tableColumn id="7" xr3:uid="{8193B137-7B10-46C4-88A7-B1CF5D173A3F}" uniqueName="7" name="Project8" queryTableFieldId="7" dataDxfId="30" dataCellStyle="Comma"/>
    <tableColumn id="8" xr3:uid="{9E9866AB-FF5E-4906-8D25-C3BD325A8678}" uniqueName="8" name="Notes" queryTableFieldId="8" dataDxfId="29" dataCellStyle="Comma"/>
    <tableColumn id="9" xr3:uid="{03EB9CC3-468F-4433-9C95-537AAD5ED4AF}" uniqueName="9" name="Total" queryTableFieldId="9" dataDxfId="28" dataCellStyle="Comma"/>
    <tableColumn id="10" xr3:uid="{F9A53584-D7A2-44C0-984D-1DCB54948026}" uniqueName="10" name="HURF Exchange" queryTableFieldId="10" dataDxfId="27" dataCellStyle="Comma"/>
    <tableColumn id="11" xr3:uid="{6D204519-1451-4EF9-ACE7-A2FE066EE63F}" uniqueName="11" name="HSIP" queryTableFieldId="11" dataDxfId="26" dataCellStyle="Comma"/>
    <tableColumn id="12" xr3:uid="{89186F5A-39DE-4E4C-868A-99D307F59502}" uniqueName="12" name="SPR" queryTableFieldId="12" dataDxfId="25" dataCellStyle="Comma"/>
    <tableColumn id="13" xr3:uid="{5A730DBA-EA23-459D-A44B-F77C13F0659F}" uniqueName="13" name="STP &lt;5" queryTableFieldId="13" dataDxfId="24" dataCellStyle="Comma"/>
    <tableColumn id="14" xr3:uid="{4012B6EE-8F82-4796-ACAE-6E86D9C42964}" uniqueName="14" name="STP 5-2" queryTableFieldId="14" dataDxfId="23" dataCellStyle="Comma"/>
    <tableColumn id="15" xr3:uid="{7ACE0D18-2BA2-4584-9F0E-0A05BA471306}" uniqueName="15" name="STP 5-50" queryTableFieldId="15" dataDxfId="22" dataCellStyle="Comma"/>
    <tableColumn id="16" xr3:uid="{FB151EEB-4F8F-4E94-88C9-3F526CC05CE6}" uniqueName="16" name="STP Flex" queryTableFieldId="16" dataDxfId="21" dataCellStyle="Comma"/>
    <tableColumn id="17" xr3:uid="{0FCF7C52-0345-4F62-9BCE-E2F76B596F5E}" uniqueName="17" name="TAP Flex" queryTableFieldId="17" dataDxfId="20" dataCellStyle="Comma"/>
    <tableColumn id="18" xr3:uid="{F10F7934-A404-4FE5-8B43-4B2D61311632}" uniqueName="18" name="Column1" queryTableFieldId="18" dataDxfId="19" dataCellStyle="Comma"/>
  </tableColumns>
  <tableStyleInfo name="Table Style 4"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table" Target="../tables/table2.xml"/></Relationships>
</file>

<file path=xl/worksheets/_rels/sheet2.xml.rels><?xml version="1.0" encoding="UTF-8" standalone="yes"?>
<Relationships xmlns="http://schemas.openxmlformats.org/package/2006/relationships"><Relationship Id="rId3" Type="http://schemas.openxmlformats.org/officeDocument/2006/relationships/table" Target="../tables/table4.xml"/><Relationship Id="rId2" Type="http://schemas.openxmlformats.org/officeDocument/2006/relationships/table" Target="../tables/table3.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U54"/>
  <sheetViews>
    <sheetView tabSelected="1" zoomScale="90" zoomScaleNormal="90" zoomScaleSheetLayoutView="115" workbookViewId="0">
      <selection sqref="A1:F1"/>
    </sheetView>
  </sheetViews>
  <sheetFormatPr defaultColWidth="32" defaultRowHeight="16.5" outlineLevelCol="1" x14ac:dyDescent="0.25"/>
  <cols>
    <col min="1" max="1" width="12.7109375" style="33" customWidth="1"/>
    <col min="2" max="3" width="15.7109375" style="33" customWidth="1"/>
    <col min="4" max="4" width="10.28515625" style="33" customWidth="1"/>
    <col min="5" max="5" width="40.7109375" style="33" customWidth="1"/>
    <col min="6" max="6" width="10.85546875" style="33" hidden="1" customWidth="1" outlineLevel="1"/>
    <col min="7" max="7" width="9.140625" style="33" hidden="1" customWidth="1" outlineLevel="1"/>
    <col min="8" max="8" width="9.28515625" style="33" hidden="1" customWidth="1" outlineLevel="1"/>
    <col min="9" max="9" width="13.28515625" style="158" customWidth="1" collapsed="1"/>
    <col min="10" max="10" width="12.5703125" style="33" customWidth="1"/>
    <col min="11" max="11" width="14.7109375" style="33" customWidth="1"/>
    <col min="12" max="12" width="17.28515625" style="33" customWidth="1"/>
    <col min="13" max="13" width="19.5703125" style="33" customWidth="1"/>
    <col min="14" max="17" width="14.7109375" style="36" customWidth="1"/>
    <col min="18" max="18" width="16.7109375" style="36" bestFit="1" customWidth="1"/>
    <col min="19" max="19" width="16" style="36" customWidth="1"/>
    <col min="20" max="20" width="18.7109375" style="36" customWidth="1"/>
    <col min="21" max="21" width="18.7109375" style="33" customWidth="1"/>
    <col min="22" max="16384" width="32" style="33"/>
  </cols>
  <sheetData>
    <row r="1" spans="1:21" ht="23.25" customHeight="1" x14ac:dyDescent="0.25">
      <c r="A1" s="219" t="s">
        <v>113</v>
      </c>
      <c r="B1" s="219"/>
      <c r="C1" s="219"/>
      <c r="D1" s="219"/>
      <c r="E1" s="219"/>
      <c r="F1" s="219"/>
      <c r="J1" s="34"/>
      <c r="K1" s="35"/>
      <c r="L1" s="34"/>
      <c r="M1" s="216" t="s">
        <v>74</v>
      </c>
      <c r="N1" s="216"/>
      <c r="O1" s="216"/>
      <c r="P1" s="216"/>
      <c r="Q1" s="216"/>
      <c r="R1" s="216"/>
      <c r="S1" s="216"/>
      <c r="T1" s="216"/>
    </row>
    <row r="2" spans="1:21" ht="20.25" customHeight="1" x14ac:dyDescent="0.25">
      <c r="J2" s="34"/>
      <c r="K2" s="34"/>
      <c r="L2" s="34"/>
      <c r="M2" s="228" t="s">
        <v>12</v>
      </c>
      <c r="N2" s="228"/>
      <c r="O2" s="228"/>
      <c r="P2" s="228"/>
      <c r="Q2" s="228"/>
      <c r="R2" s="228"/>
      <c r="S2" s="228"/>
      <c r="T2" s="229"/>
    </row>
    <row r="3" spans="1:21" ht="27.6" customHeight="1" x14ac:dyDescent="0.25">
      <c r="A3" s="221" t="s">
        <v>290</v>
      </c>
      <c r="B3" s="221"/>
      <c r="C3" s="221"/>
      <c r="D3" s="221"/>
      <c r="E3" s="37"/>
      <c r="F3" s="37"/>
      <c r="G3" s="37"/>
      <c r="J3" s="34"/>
      <c r="K3" s="74"/>
      <c r="L3" s="126" t="s">
        <v>11</v>
      </c>
      <c r="M3" s="127" t="s">
        <v>189</v>
      </c>
      <c r="N3" s="128" t="s">
        <v>57</v>
      </c>
      <c r="O3" s="128" t="s">
        <v>54</v>
      </c>
      <c r="P3" s="128" t="s">
        <v>99</v>
      </c>
      <c r="Q3" s="128" t="s">
        <v>190</v>
      </c>
      <c r="R3" s="172" t="s">
        <v>229</v>
      </c>
      <c r="S3" s="128" t="s">
        <v>6</v>
      </c>
      <c r="T3" s="128" t="s">
        <v>10</v>
      </c>
      <c r="U3" s="142" t="s">
        <v>15</v>
      </c>
    </row>
    <row r="4" spans="1:21" ht="26.45" customHeight="1" x14ac:dyDescent="0.25">
      <c r="A4" s="192"/>
      <c r="B4" s="159"/>
      <c r="C4" s="159"/>
      <c r="D4" s="159"/>
      <c r="E4" s="38"/>
      <c r="F4" s="38"/>
      <c r="G4" s="38"/>
      <c r="J4" s="34"/>
      <c r="K4" s="34"/>
      <c r="L4" s="129" t="s">
        <v>104</v>
      </c>
      <c r="M4" s="130">
        <v>0</v>
      </c>
      <c r="N4" s="131">
        <v>0</v>
      </c>
      <c r="O4" s="131">
        <v>0</v>
      </c>
      <c r="P4" s="131">
        <v>0</v>
      </c>
      <c r="Q4" s="131">
        <v>0</v>
      </c>
      <c r="R4" s="173">
        <v>0</v>
      </c>
      <c r="S4" s="131">
        <v>0</v>
      </c>
      <c r="T4" s="131">
        <f t="shared" ref="T4:T12" si="0">SUM(M4:S4)</f>
        <v>0</v>
      </c>
      <c r="U4" s="143">
        <v>0</v>
      </c>
    </row>
    <row r="5" spans="1:21" ht="27" x14ac:dyDescent="0.25">
      <c r="A5" s="227" t="s">
        <v>258</v>
      </c>
      <c r="B5" s="227"/>
      <c r="C5" s="227"/>
      <c r="D5" s="227"/>
      <c r="J5" s="34"/>
      <c r="K5" s="34"/>
      <c r="L5" s="132" t="s">
        <v>94</v>
      </c>
      <c r="M5" s="133">
        <v>0</v>
      </c>
      <c r="N5" s="134">
        <v>0</v>
      </c>
      <c r="O5" s="174">
        <f>+'FY25 Apportionments'!D3</f>
        <v>125000</v>
      </c>
      <c r="P5" s="174">
        <f>+'FY25 Apportionments'!D7</f>
        <v>312202</v>
      </c>
      <c r="Q5" s="185">
        <f>+'FY25 Apportionments'!D6</f>
        <v>0</v>
      </c>
      <c r="R5" s="174">
        <f>+'FY25 Apportionments'!D5</f>
        <v>383024</v>
      </c>
      <c r="S5" s="134">
        <f>0</f>
        <v>0</v>
      </c>
      <c r="T5" s="134">
        <f t="shared" si="0"/>
        <v>820226</v>
      </c>
      <c r="U5" s="144">
        <f>ROUND(+'Federal Funds Transactions'!$T5*0.949,0)</f>
        <v>778394</v>
      </c>
    </row>
    <row r="6" spans="1:21" x14ac:dyDescent="0.25">
      <c r="A6" s="79" t="s">
        <v>235</v>
      </c>
      <c r="C6" s="65">
        <v>45721</v>
      </c>
      <c r="J6" s="34"/>
      <c r="K6" s="34"/>
      <c r="L6" s="129" t="s">
        <v>65</v>
      </c>
      <c r="M6" s="135">
        <f>SUMIFS(Table_Query_from_MS_Access_Database[[#All],[HURF Exchange]],Table_Query_from_MS_Access_Database[[#All],[Transaction Year]],"2025",Table_Query_from_MS_Access_Database[[#All],[Transaction Type]],"loan in")</f>
        <v>0</v>
      </c>
      <c r="N6" s="136">
        <f>SUMIFS(Table_Query_from_MS_Access_Database[[#All],[HSIP]],Table_Query_from_MS_Access_Database[[#All],[Transaction Year]],"2025",Table_Query_from_MS_Access_Database[[#All],[Transaction Type]],"loan in")</f>
        <v>0</v>
      </c>
      <c r="O6" s="136">
        <f>SUMIFS(Table_Query_from_MS_Access_Database[[#All],[SPR]],Table_Query_from_MS_Access_Database[[#All],[Transaction Year]],"2025",Table_Query_from_MS_Access_Database[[#All],[Transaction Type]],"loan in")</f>
        <v>0</v>
      </c>
      <c r="P6" s="136">
        <f>SUMIFS(Table_Query_from_MS_Access_Database[[#All],[STP &lt;5]],Table_Query_from_MS_Access_Database[[#All],[Transaction Year]],"2025",Table_Query_from_MS_Access_Database[[#All],[Transaction Type]],"loan in")</f>
        <v>0</v>
      </c>
      <c r="Q6" s="136">
        <f>SUMIFS(Table_Query_from_MS_Access_Database[[#All],[STP 5-2]],Table_Query_from_MS_Access_Database[[#All],[Transaction Year]],"2025",Table_Query_from_MS_Access_Database[[#All],[Transaction Type]],"loan in")</f>
        <v>0</v>
      </c>
      <c r="R6" s="175">
        <f>SUMIFS(Table_Query_from_MS_Access_Database[[#All],[STP 5-50]],Table_Query_from_MS_Access_Database[[#All],[Transaction Year]],"2025",Table_Query_from_MS_Access_Database[[#All],[Transaction Type]],"loan in")</f>
        <v>0</v>
      </c>
      <c r="S6" s="175">
        <f>SUMIFS(Table_Query_from_MS_Access_Database[[#All],[STP Flex]],Table_Query_from_MS_Access_Database[[#All],[Transaction Year]],"2025",Table_Query_from_MS_Access_Database[[#All],[Transaction Type]],"loan in")</f>
        <v>0</v>
      </c>
      <c r="T6" s="131">
        <f t="shared" si="0"/>
        <v>0</v>
      </c>
      <c r="U6" s="145">
        <f>SUMIFS(Table_Query_from_MS_Access_Database_16[[#All],[Total]],Table_Query_from_MS_Access_Database_16[[#All],[Transaction Year]],"2025",Table_Query_from_MS_Access_Database_16[[#All],[Transaction Type]],"Loan In")</f>
        <v>0</v>
      </c>
    </row>
    <row r="7" spans="1:21" x14ac:dyDescent="0.25">
      <c r="A7" s="41"/>
      <c r="J7" s="34"/>
      <c r="K7" s="34"/>
      <c r="L7" s="132" t="s">
        <v>66</v>
      </c>
      <c r="M7" s="137">
        <f>SUMIFS(Table_Query_from_MS_Access_Database[[#All],[HURF Exchange]],Table_Query_from_MS_Access_Database[[#All],[Transaction Year]],"2025",Table_Query_from_MS_Access_Database[[#All],[Transaction Type]],"loan Out")</f>
        <v>0</v>
      </c>
      <c r="N7" s="138">
        <f>SUMIFS(Table_Query_from_MS_Access_Database[[#All],[HSIP]],Table_Query_from_MS_Access_Database[[#All],[Transaction Year]],"2025",Table_Query_from_MS_Access_Database[[#All],[Transaction Type]],"loan Out")</f>
        <v>0</v>
      </c>
      <c r="O7" s="138">
        <f>SUMIFS(Table_Query_from_MS_Access_Database[[#All],[SPR]],Table_Query_from_MS_Access_Database[[#All],[Transaction Year]],"2025",Table_Query_from_MS_Access_Database[[#All],[Transaction Type]],"loan Out")</f>
        <v>0</v>
      </c>
      <c r="P7" s="138">
        <f>SUMIFS(Table_Query_from_MS_Access_Database[[#All],[STP &lt;5]],Table_Query_from_MS_Access_Database[[#All],[Transaction Year]],"2025",Table_Query_from_MS_Access_Database[[#All],[Transaction Type]],"loan Out")</f>
        <v>0</v>
      </c>
      <c r="Q7" s="138">
        <f>SUMIFS(Table_Query_from_MS_Access_Database[[#All],[STP 5-2]],Table_Query_from_MS_Access_Database[[#All],[Transaction Year]],"2025",Table_Query_from_MS_Access_Database[[#All],[Transaction Type]],"loan Out")</f>
        <v>0</v>
      </c>
      <c r="R7" s="176">
        <f>SUMIFS(Table_Query_from_MS_Access_Database[[#All],[STP 5-50]],Table_Query_from_MS_Access_Database[[#All],[Transaction Year]],"2025",Table_Query_from_MS_Access_Database[[#All],[Transaction Type]],"loan Out")</f>
        <v>-473023</v>
      </c>
      <c r="S7" s="176">
        <f>SUMIFS(Table_Query_from_MS_Access_Database[[#All],[STP Flex]],Table_Query_from_MS_Access_Database[[#All],[Transaction Year]],"2025",Table_Query_from_MS_Access_Database[[#All],[Transaction Type]],"loan Out")</f>
        <v>0</v>
      </c>
      <c r="T7" s="134">
        <f t="shared" si="0"/>
        <v>-473023</v>
      </c>
      <c r="U7" s="146">
        <f>SUMIFS(Table_Query_from_MS_Access_Database_16[[#All],[Total]],Table_Query_from_MS_Access_Database_16[[#All],[Transaction Year]],"2025",Table_Query_from_MS_Access_Database_16[[#All],[Transaction Type]],"Loan Out")</f>
        <v>-473023</v>
      </c>
    </row>
    <row r="8" spans="1:21" x14ac:dyDescent="0.25">
      <c r="J8" s="34"/>
      <c r="K8" s="34"/>
      <c r="L8" s="129" t="s">
        <v>67</v>
      </c>
      <c r="M8" s="135">
        <f>SUMIFS(Table_Query_from_MS_Access_Database[[#All],[HURF Exchange]],Table_Query_from_MS_Access_Database[[#All],[Transaction Year]],"2025",Table_Query_from_MS_Access_Database[[#All],[Transaction Type]],"repayment in")</f>
        <v>0</v>
      </c>
      <c r="N8" s="136">
        <f>SUMIFS(Table_Query_from_MS_Access_Database[[#All],[HSIP]],Table_Query_from_MS_Access_Database[[#All],[Transaction Year]],"2025",Table_Query_from_MS_Access_Database[[#All],[Transaction Type]],"repayment in")</f>
        <v>0</v>
      </c>
      <c r="O8" s="136">
        <f>SUMIFS(Table_Query_from_MS_Access_Database[[#All],[SPR]],Table_Query_from_MS_Access_Database[[#All],[Transaction Year]],"2025",Table_Query_from_MS_Access_Database[[#All],[Transaction Type]],"repayment in")</f>
        <v>0</v>
      </c>
      <c r="P8" s="136">
        <f>SUMIFS(Table_Query_from_MS_Access_Database[[#All],[STP &lt;5]],Table_Query_from_MS_Access_Database[[#All],[Transaction Year]],"2025",Table_Query_from_MS_Access_Database[[#All],[Transaction Type]],"repayment in")</f>
        <v>58465.95</v>
      </c>
      <c r="Q8" s="136">
        <f>SUMIFS(Table_Query_from_MS_Access_Database[[#All],[STP 5-2]],Table_Query_from_MS_Access_Database[[#All],[Transaction Year]],"2025",Table_Query_from_MS_Access_Database[[#All],[Transaction Type]],"repayment in")</f>
        <v>0</v>
      </c>
      <c r="R8" s="175">
        <f>SUMIFS(Table_Query_from_MS_Access_Database[[#All],[STP 5-50]],Table_Query_from_MS_Access_Database[[#All],[Transaction Year]],"2025",Table_Query_from_MS_Access_Database[[#All],[Transaction Type]],"repayment in")</f>
        <v>0</v>
      </c>
      <c r="S8" s="175">
        <f>SUMIFS(Table_Query_from_MS_Access_Database[[#All],[STP Flex]],Table_Query_from_MS_Access_Database[[#All],[Transaction Year]],"2025",Table_Query_from_MS_Access_Database[[#All],[Transaction Type]],"repayment in")</f>
        <v>0</v>
      </c>
      <c r="T8" s="131">
        <f t="shared" si="0"/>
        <v>58465.95</v>
      </c>
      <c r="U8" s="145">
        <f>SUMIFS(Table_Query_from_MS_Access_Database_16[[#All],[Total]],Table_Query_from_MS_Access_Database_16[[#All],[Transaction Year]],"2025",Table_Query_from_MS_Access_Database_16[[#All],[Transaction Type]],"repayment In")</f>
        <v>58465.95</v>
      </c>
    </row>
    <row r="9" spans="1:21" ht="16.5" customHeight="1" x14ac:dyDescent="0.25">
      <c r="A9" s="227" t="s">
        <v>80</v>
      </c>
      <c r="B9" s="227"/>
      <c r="C9" s="227"/>
      <c r="D9" s="227"/>
      <c r="E9" s="227"/>
      <c r="F9" s="227"/>
      <c r="G9" s="227"/>
      <c r="H9" s="227"/>
      <c r="I9" s="227"/>
      <c r="J9" s="227"/>
      <c r="K9" s="159"/>
      <c r="L9" s="132" t="s">
        <v>68</v>
      </c>
      <c r="M9" s="137">
        <f>SUMIFS(Table_Query_from_MS_Access_Database[[#All],[HURF Exchange]],Table_Query_from_MS_Access_Database[[#All],[Transaction Year]],"2025",Table_Query_from_MS_Access_Database[[#All],[Transaction Type]],"repayment Out")</f>
        <v>0</v>
      </c>
      <c r="N9" s="138">
        <f>SUMIFS(Table_Query_from_MS_Access_Database[[#All],[HSIP]],Table_Query_from_MS_Access_Database[[#All],[Transaction Year]],"2025",Table_Query_from_MS_Access_Database[[#All],[Transaction Type]],"repayment Out")</f>
        <v>0</v>
      </c>
      <c r="O9" s="138">
        <f>SUMIFS(Table_Query_from_MS_Access_Database[[#All],[SPR]],Table_Query_from_MS_Access_Database[[#All],[Transaction Year]],"2025",Table_Query_from_MS_Access_Database[[#All],[Transaction Type]],"repayment Out")</f>
        <v>0</v>
      </c>
      <c r="P9" s="138">
        <f>SUMIFS(Table_Query_from_MS_Access_Database[[#All],[STP &lt;5]],Table_Query_from_MS_Access_Database[[#All],[Transaction Year]],"2025",Table_Query_from_MS_Access_Database[[#All],[Transaction Type]],"repayment Out")</f>
        <v>0</v>
      </c>
      <c r="Q9" s="138">
        <f>SUMIFS(Table_Query_from_MS_Access_Database[[#All],[STP 5-2]],Table_Query_from_MS_Access_Database[[#All],[Transaction Year]],"2025",Table_Query_from_MS_Access_Database[[#All],[Transaction Type]],"repayment Out")</f>
        <v>0</v>
      </c>
      <c r="R9" s="176">
        <f>SUMIFS(Table_Query_from_MS_Access_Database[[#All],[STP 5-50]],Table_Query_from_MS_Access_Database[[#All],[Transaction Year]],"2025",Table_Query_from_MS_Access_Database[[#All],[Transaction Type]],"repayment Out")</f>
        <v>0</v>
      </c>
      <c r="S9" s="176">
        <f>SUMIFS(Table_Query_from_MS_Access_Database[[#All],[STP Flex]],Table_Query_from_MS_Access_Database[[#All],[Transaction Year]],"2025",Table_Query_from_MS_Access_Database[[#All],[Transaction Type]],"repayment Out")</f>
        <v>0</v>
      </c>
      <c r="T9" s="134">
        <f t="shared" si="0"/>
        <v>0</v>
      </c>
      <c r="U9" s="146">
        <f>SUMIFS(Table_Query_from_MS_Access_Database_16[[#All],[Total]],Table_Query_from_MS_Access_Database_16[[#All],[Transaction Year]],"2025",Table_Query_from_MS_Access_Database_16[[#All],[Transaction Type]],"Repayment Out")</f>
        <v>0</v>
      </c>
    </row>
    <row r="10" spans="1:21" x14ac:dyDescent="0.25">
      <c r="J10" s="34"/>
      <c r="K10" s="34"/>
      <c r="L10" s="129" t="s">
        <v>69</v>
      </c>
      <c r="M10" s="135">
        <f>SUMIFS(Table_Query_from_MS_Access_Database[[#All],[HURF Exchange]],Table_Query_from_MS_Access_Database[[#All],[Transaction Year]],"2025",Table_Query_from_MS_Access_Database[[#All],[Transaction Type]],"Transfer in")</f>
        <v>0</v>
      </c>
      <c r="N10" s="136">
        <f>SUMIFS(Table_Query_from_MS_Access_Database[[#All],[HSIP]],Table_Query_from_MS_Access_Database[[#All],[Transaction Year]],"2025",Table_Query_from_MS_Access_Database[[#All],[Transaction Type]],"Transfer in")</f>
        <v>0</v>
      </c>
      <c r="O10" s="136">
        <f>SUMIFS(Table_Query_from_MS_Access_Database[[#All],[SPR]],Table_Query_from_MS_Access_Database[[#All],[Transaction Year]],"2025",Table_Query_from_MS_Access_Database[[#All],[Transaction Type]],"Transfer in")</f>
        <v>0</v>
      </c>
      <c r="P10" s="136">
        <f>SUMIFS(Table_Query_from_MS_Access_Database[[#All],[STP &lt;5]],Table_Query_from_MS_Access_Database[[#All],[Transaction Year]],"2025",Table_Query_from_MS_Access_Database[[#All],[Transaction Type]],"Transfer in")</f>
        <v>0</v>
      </c>
      <c r="Q10" s="136">
        <f>SUMIFS(Table_Query_from_MS_Access_Database[[#All],[STP 5-2]],Table_Query_from_MS_Access_Database[[#All],[Transaction Year]],"2025",Table_Query_from_MS_Access_Database[[#All],[Transaction Type]],"Transfer in")</f>
        <v>0</v>
      </c>
      <c r="R10" s="175">
        <f>SUMIFS(Table_Query_from_MS_Access_Database[[#All],[STP 5-50]],Table_Query_from_MS_Access_Database[[#All],[Transaction Year]],"2025",Table_Query_from_MS_Access_Database[[#All],[Transaction Type]],"Transfer in")</f>
        <v>0</v>
      </c>
      <c r="S10" s="175">
        <f>SUMIFS(Table_Query_from_MS_Access_Database[[#All],[STP Flex]],Table_Query_from_MS_Access_Database[[#All],[Transaction Year]],"2025",Table_Query_from_MS_Access_Database[[#All],[Transaction Type]],"Transfer in")</f>
        <v>0</v>
      </c>
      <c r="T10" s="131">
        <f t="shared" si="0"/>
        <v>0</v>
      </c>
      <c r="U10" s="145">
        <f>SUMIFS(Table_Query_from_MS_Access_Database_16[[#All],[Total]],Table_Query_from_MS_Access_Database_16[[#All],[Transaction Year]],"2025",Table_Query_from_MS_Access_Database_16[[#All],[Transaction Type]],"Transfer In")</f>
        <v>0</v>
      </c>
    </row>
    <row r="11" spans="1:21" x14ac:dyDescent="0.25">
      <c r="F11" s="42"/>
      <c r="G11" s="42"/>
      <c r="J11" s="34"/>
      <c r="K11" s="34"/>
      <c r="L11" s="132" t="s">
        <v>70</v>
      </c>
      <c r="M11" s="137">
        <f>SUMIFS(Table_Query_from_MS_Access_Database[[#All],[HURF Exchange]],Table_Query_from_MS_Access_Database[[#All],[Transaction Year]],"2025",Table_Query_from_MS_Access_Database[[#All],[Transaction Type]],"Transfer Out")</f>
        <v>0</v>
      </c>
      <c r="N11" s="138">
        <f>SUMIFS(Table_Query_from_MS_Access_Database[[#All],[HSIP]],Table_Query_from_MS_Access_Database[[#All],[Transaction Year]],"2025",Table_Query_from_MS_Access_Database[[#All],[Transaction Type]],"Transfer Out")</f>
        <v>0</v>
      </c>
      <c r="O11" s="138">
        <f>SUMIFS(Table_Query_from_MS_Access_Database[[#All],[SPR]],Table_Query_from_MS_Access_Database[[#All],[Transaction Year]],"2025",Table_Query_from_MS_Access_Database[[#All],[Transaction Type]],"Transfer Out")</f>
        <v>0</v>
      </c>
      <c r="P11" s="138">
        <f>SUMIFS(Table_Query_from_MS_Access_Database[[#All],[STP &lt;5]],Table_Query_from_MS_Access_Database[[#All],[Transaction Year]],"2025",Table_Query_from_MS_Access_Database[[#All],[Transaction Type]],"Transfer Out")</f>
        <v>0</v>
      </c>
      <c r="Q11" s="138">
        <f>SUMIFS(Table_Query_from_MS_Access_Database[[#All],[STP 5-2]],Table_Query_from_MS_Access_Database[[#All],[Transaction Year]],"2025",Table_Query_from_MS_Access_Database[[#All],[Transaction Type]],"Transfer Out")</f>
        <v>0</v>
      </c>
      <c r="R11" s="176">
        <f>SUMIFS(Table_Query_from_MS_Access_Database[[#All],[STP 5-50]],Table_Query_from_MS_Access_Database[[#All],[Transaction Year]],"2025",Table_Query_from_MS_Access_Database[[#All],[Transaction Type]],"Transfer Out")</f>
        <v>0</v>
      </c>
      <c r="S11" s="176">
        <f>SUMIFS(Table_Query_from_MS_Access_Database[[#All],[STP Flex]],Table_Query_from_MS_Access_Database[[#All],[Transaction Year]],"2025",Table_Query_from_MS_Access_Database[[#All],[Transaction Type]],"Transfer Out")</f>
        <v>0</v>
      </c>
      <c r="T11" s="134">
        <f t="shared" si="0"/>
        <v>0</v>
      </c>
      <c r="U11" s="146">
        <f>SUMIFS(Table_Query_from_MS_Access_Database_16[[#All],[Total]],Table_Query_from_MS_Access_Database_16[[#All],[Transaction Year]],"2025",Table_Query_from_MS_Access_Database_16[[#All],[Transaction Type]],"Transfer Out")</f>
        <v>0</v>
      </c>
    </row>
    <row r="12" spans="1:21" ht="54" x14ac:dyDescent="0.25">
      <c r="J12" s="34"/>
      <c r="K12" s="34"/>
      <c r="L12" s="139" t="s">
        <v>103</v>
      </c>
      <c r="M12" s="140">
        <f t="shared" ref="M12:S12" si="1">SUM(M4:M11)</f>
        <v>0</v>
      </c>
      <c r="N12" s="141">
        <f t="shared" si="1"/>
        <v>0</v>
      </c>
      <c r="O12" s="141">
        <f t="shared" si="1"/>
        <v>125000</v>
      </c>
      <c r="P12" s="141">
        <f t="shared" si="1"/>
        <v>370667.95</v>
      </c>
      <c r="Q12" s="141">
        <f t="shared" si="1"/>
        <v>0</v>
      </c>
      <c r="R12" s="177">
        <f t="shared" si="1"/>
        <v>-89999</v>
      </c>
      <c r="S12" s="141">
        <f t="shared" si="1"/>
        <v>0</v>
      </c>
      <c r="T12" s="141">
        <f t="shared" si="0"/>
        <v>405668.95</v>
      </c>
      <c r="U12" s="147">
        <f>SUM(U4:U11)</f>
        <v>363836.95</v>
      </c>
    </row>
    <row r="13" spans="1:21" x14ac:dyDescent="0.25">
      <c r="J13" s="34"/>
      <c r="K13" s="34"/>
      <c r="L13" s="34"/>
      <c r="M13" s="34"/>
      <c r="N13" s="43"/>
      <c r="O13" s="44"/>
      <c r="P13" s="44"/>
      <c r="Q13" s="44"/>
      <c r="R13" s="44"/>
      <c r="S13" s="44"/>
      <c r="T13" s="40"/>
    </row>
    <row r="14" spans="1:21" ht="15.75" customHeight="1" x14ac:dyDescent="0.25">
      <c r="A14" s="220" t="s">
        <v>58</v>
      </c>
      <c r="B14" s="220"/>
      <c r="C14" s="220"/>
      <c r="D14" s="220"/>
      <c r="I14" s="222" t="s">
        <v>59</v>
      </c>
      <c r="J14" s="223"/>
      <c r="K14" s="223"/>
      <c r="L14" s="224"/>
      <c r="N14" s="45"/>
      <c r="R14" s="46"/>
      <c r="S14" s="46"/>
      <c r="T14" s="46"/>
    </row>
    <row r="15" spans="1:21" s="49" customFormat="1" ht="27" x14ac:dyDescent="0.25">
      <c r="A15" s="73" t="s">
        <v>1</v>
      </c>
      <c r="B15" s="73" t="s">
        <v>0</v>
      </c>
      <c r="C15" s="73" t="s">
        <v>3</v>
      </c>
      <c r="D15" s="73" t="s">
        <v>78</v>
      </c>
      <c r="E15" s="73" t="s">
        <v>2</v>
      </c>
      <c r="F15" s="73" t="s">
        <v>44</v>
      </c>
      <c r="G15" s="73" t="s">
        <v>45</v>
      </c>
      <c r="H15" s="73" t="s">
        <v>46</v>
      </c>
      <c r="I15" s="157" t="s">
        <v>47</v>
      </c>
      <c r="J15" s="72" t="s">
        <v>48</v>
      </c>
      <c r="K15" s="72" t="s">
        <v>49</v>
      </c>
      <c r="L15" s="98" t="s">
        <v>50</v>
      </c>
      <c r="M15" s="98" t="s">
        <v>189</v>
      </c>
      <c r="N15" s="98" t="s">
        <v>4</v>
      </c>
      <c r="O15" s="98" t="s">
        <v>5</v>
      </c>
      <c r="P15" s="72" t="s">
        <v>99</v>
      </c>
      <c r="Q15" s="72" t="s">
        <v>190</v>
      </c>
      <c r="R15" s="72" t="s">
        <v>229</v>
      </c>
      <c r="S15" s="72" t="s">
        <v>51</v>
      </c>
      <c r="T15" s="72" t="s">
        <v>79</v>
      </c>
      <c r="U15" s="72" t="s">
        <v>85</v>
      </c>
    </row>
    <row r="16" spans="1:21" s="51" customFormat="1" ht="13.5" x14ac:dyDescent="0.25">
      <c r="A16" s="51" t="s">
        <v>238</v>
      </c>
      <c r="B16" s="184"/>
      <c r="C16" s="184" t="s">
        <v>109</v>
      </c>
      <c r="D16" s="184" t="s">
        <v>8</v>
      </c>
      <c r="E16" s="71" t="s">
        <v>239</v>
      </c>
      <c r="F16" s="71" t="s">
        <v>185</v>
      </c>
      <c r="G16" s="71" t="s">
        <v>100</v>
      </c>
      <c r="H16" s="71" t="s">
        <v>240</v>
      </c>
      <c r="I16" s="163">
        <v>45566</v>
      </c>
      <c r="J16" s="163">
        <v>45566</v>
      </c>
      <c r="K16" s="163">
        <v>45566</v>
      </c>
      <c r="L16" s="163">
        <v>45566</v>
      </c>
      <c r="M16" s="164"/>
      <c r="N16" s="116"/>
      <c r="O16" s="183">
        <v>93750</v>
      </c>
      <c r="P16" s="103"/>
      <c r="Q16" s="56"/>
      <c r="R16" s="56"/>
      <c r="S16" s="56"/>
      <c r="T16" s="56">
        <f>SUM(Table_Query_from_MS_Access_Database8[[#This Row],[HURF EX]:[STP OTHER]])</f>
        <v>93750</v>
      </c>
      <c r="U16" s="56">
        <f ca="1">IF(ISTEXT(INDIRECT(ADDRESS(ROW()-1,COLUMN()))), INDIRECT(ADDRESS(12,COLUMN())),INDIRECT(ADDRESS(ROW()-1,COLUMN())))-Table_Query_from_MS_Access_Database8[[#This Row],[TOTAL OF AMOUNT]]</f>
        <v>270086.95</v>
      </c>
    </row>
    <row r="17" spans="1:21" s="51" customFormat="1" ht="13.5" hidden="1" customHeight="1" x14ac:dyDescent="0.25">
      <c r="A17" s="188"/>
      <c r="B17" s="189"/>
      <c r="C17" s="189"/>
      <c r="D17" s="189"/>
      <c r="E17" s="100"/>
      <c r="F17" s="100"/>
      <c r="G17" s="100"/>
      <c r="H17" s="100"/>
      <c r="I17" s="164"/>
      <c r="J17" s="164"/>
      <c r="K17" s="164"/>
      <c r="L17" s="164"/>
      <c r="M17" s="164"/>
      <c r="N17" s="116"/>
      <c r="O17" s="183"/>
      <c r="P17" s="116"/>
      <c r="Q17" s="165"/>
      <c r="R17" s="165"/>
      <c r="S17" s="165"/>
      <c r="T17" s="165"/>
      <c r="U17" s="165"/>
    </row>
    <row r="18" spans="1:21" s="51" customFormat="1" ht="13.5" hidden="1" x14ac:dyDescent="0.25">
      <c r="A18" s="188"/>
      <c r="B18" s="189"/>
      <c r="C18" s="189"/>
      <c r="D18" s="189"/>
      <c r="E18" s="100"/>
      <c r="F18" s="100"/>
      <c r="G18" s="100"/>
      <c r="H18" s="100"/>
      <c r="I18" s="164"/>
      <c r="J18" s="164"/>
      <c r="K18" s="164"/>
      <c r="L18" s="164"/>
      <c r="M18" s="164"/>
      <c r="N18" s="116"/>
      <c r="O18" s="183"/>
      <c r="P18" s="116"/>
      <c r="Q18" s="165"/>
      <c r="R18" s="165"/>
      <c r="S18" s="165"/>
      <c r="T18" s="56"/>
      <c r="U18" s="56"/>
    </row>
    <row r="19" spans="1:21" s="51" customFormat="1" ht="13.15" hidden="1" customHeight="1" x14ac:dyDescent="0.25">
      <c r="A19" s="188"/>
      <c r="B19" s="189"/>
      <c r="C19" s="189"/>
      <c r="D19" s="189"/>
      <c r="E19" s="100"/>
      <c r="F19" s="100"/>
      <c r="G19" s="100"/>
      <c r="H19" s="100"/>
      <c r="I19" s="164"/>
      <c r="J19" s="164"/>
      <c r="K19" s="164"/>
      <c r="L19" s="164"/>
      <c r="M19" s="190"/>
      <c r="N19" s="116"/>
      <c r="O19" s="183"/>
      <c r="P19" s="116"/>
      <c r="Q19" s="165"/>
      <c r="R19" s="165"/>
      <c r="S19" s="165"/>
      <c r="T19" s="56"/>
      <c r="U19" s="56"/>
    </row>
    <row r="20" spans="1:21" s="51" customFormat="1" ht="13.5" hidden="1" x14ac:dyDescent="0.25">
      <c r="A20" s="188"/>
      <c r="B20" s="189"/>
      <c r="C20" s="189"/>
      <c r="D20" s="189"/>
      <c r="E20" s="100"/>
      <c r="F20" s="100"/>
      <c r="G20" s="100"/>
      <c r="H20" s="100"/>
      <c r="I20" s="164"/>
      <c r="J20" s="164"/>
      <c r="K20" s="164"/>
      <c r="L20" s="164"/>
      <c r="M20" s="164"/>
      <c r="N20" s="116"/>
      <c r="O20" s="183"/>
      <c r="P20" s="116"/>
      <c r="Q20" s="165"/>
      <c r="R20" s="165"/>
      <c r="S20" s="165"/>
      <c r="T20" s="56"/>
      <c r="U20" s="56"/>
    </row>
    <row r="21" spans="1:21" s="51" customFormat="1" ht="13.15" hidden="1" customHeight="1" x14ac:dyDescent="0.25">
      <c r="A21" s="188"/>
      <c r="B21" s="189"/>
      <c r="C21" s="189"/>
      <c r="D21" s="189"/>
      <c r="E21" s="100"/>
      <c r="F21" s="100"/>
      <c r="G21" s="100"/>
      <c r="H21" s="100"/>
      <c r="I21" s="164"/>
      <c r="J21" s="164"/>
      <c r="K21" s="164"/>
      <c r="L21" s="164"/>
      <c r="M21" s="164"/>
      <c r="N21" s="116"/>
      <c r="O21" s="183"/>
      <c r="P21" s="116"/>
      <c r="Q21" s="165"/>
      <c r="R21" s="165"/>
      <c r="S21" s="165"/>
      <c r="T21" s="165"/>
      <c r="U21" s="165"/>
    </row>
    <row r="22" spans="1:21" s="51" customFormat="1" ht="13.5" hidden="1" x14ac:dyDescent="0.25">
      <c r="A22" s="188"/>
      <c r="B22" s="189"/>
      <c r="C22" s="189"/>
      <c r="D22" s="189"/>
      <c r="E22" s="100"/>
      <c r="F22" s="100"/>
      <c r="G22" s="100"/>
      <c r="H22" s="100"/>
      <c r="I22" s="164"/>
      <c r="J22" s="164"/>
      <c r="K22" s="164"/>
      <c r="L22" s="164"/>
      <c r="M22" s="164"/>
      <c r="N22" s="116"/>
      <c r="O22" s="183"/>
      <c r="P22" s="116"/>
      <c r="Q22" s="165"/>
      <c r="R22" s="165"/>
      <c r="S22" s="165"/>
      <c r="T22" s="165"/>
      <c r="U22" s="165"/>
    </row>
    <row r="23" spans="1:21" s="78" customFormat="1" ht="13.5" x14ac:dyDescent="0.25">
      <c r="A23" s="51"/>
      <c r="B23" s="51"/>
      <c r="C23" s="51"/>
      <c r="D23" s="51"/>
      <c r="E23" s="47"/>
      <c r="F23" s="47"/>
      <c r="G23" s="47"/>
      <c r="H23" s="47"/>
      <c r="I23" s="156"/>
      <c r="J23" s="47"/>
      <c r="K23" s="181"/>
      <c r="L23" s="182" t="s">
        <v>72</v>
      </c>
      <c r="M23" s="166">
        <f>SUM(Table_Query_from_MS_Access_Database8[[#All],[HURF EX]])</f>
        <v>0</v>
      </c>
      <c r="N23" s="109">
        <f>SUM(Table_Query_from_MS_Access_Database8[[#All],[HSIP]])</f>
        <v>0</v>
      </c>
      <c r="O23" s="109">
        <f>SUM(Table_Query_from_MS_Access_Database8[[#All],[SPR]])</f>
        <v>93750</v>
      </c>
      <c r="P23" s="109">
        <f>SUM(Table_Query_from_MS_Access_Database8[[#All],[STP &lt;5]])</f>
        <v>0</v>
      </c>
      <c r="Q23" s="109">
        <f>SUM(Table_Query_from_MS_Access_Database8[[#All],[STP 5-200]])</f>
        <v>0</v>
      </c>
      <c r="R23" s="109">
        <f>SUM(Table_Query_from_MS_Access_Database8[[#All],[STP 5-50]])</f>
        <v>0</v>
      </c>
      <c r="S23" s="109">
        <f>SUM(Table_Query_from_MS_Access_Database8[[#All],[STP OTHER]])</f>
        <v>0</v>
      </c>
      <c r="T23" s="109">
        <f>SUM(Table_Query_from_MS_Access_Database8[TOTAL OF AMOUNT])</f>
        <v>93750</v>
      </c>
      <c r="U23" s="56"/>
    </row>
    <row r="24" spans="1:21" s="78" customFormat="1" ht="15" customHeight="1" x14ac:dyDescent="0.25">
      <c r="E24" s="47"/>
      <c r="F24" s="47"/>
      <c r="G24" s="47"/>
      <c r="H24" s="47"/>
      <c r="I24" s="156"/>
      <c r="J24" s="47"/>
      <c r="K24" s="225" t="s">
        <v>71</v>
      </c>
      <c r="L24" s="226"/>
      <c r="M24" s="166">
        <f t="shared" ref="M24:T24" si="2">+M12-M23</f>
        <v>0</v>
      </c>
      <c r="N24" s="166">
        <f t="shared" si="2"/>
        <v>0</v>
      </c>
      <c r="O24" s="166">
        <f t="shared" si="2"/>
        <v>31250</v>
      </c>
      <c r="P24" s="166">
        <f t="shared" si="2"/>
        <v>370667.95</v>
      </c>
      <c r="Q24" s="166">
        <f t="shared" si="2"/>
        <v>0</v>
      </c>
      <c r="R24" s="166">
        <f t="shared" si="2"/>
        <v>-89999</v>
      </c>
      <c r="S24" s="166">
        <f t="shared" si="2"/>
        <v>0</v>
      </c>
      <c r="T24" s="166">
        <f t="shared" si="2"/>
        <v>311918.95</v>
      </c>
      <c r="U24" s="56"/>
    </row>
    <row r="25" spans="1:21" s="78" customFormat="1" ht="15" x14ac:dyDescent="0.25">
      <c r="A25" s="53"/>
      <c r="B25" s="53"/>
      <c r="C25" s="53"/>
      <c r="D25" s="53"/>
      <c r="E25" s="48"/>
      <c r="F25" s="48"/>
      <c r="G25" s="48"/>
      <c r="H25" s="48"/>
      <c r="I25" s="155"/>
      <c r="J25" s="48"/>
      <c r="K25" s="48"/>
      <c r="L25" s="48"/>
      <c r="M25" s="53"/>
      <c r="N25" s="111"/>
      <c r="O25" s="111"/>
      <c r="P25" s="111"/>
      <c r="Q25" s="111"/>
      <c r="R25" s="111"/>
      <c r="S25" s="46"/>
      <c r="T25" s="56"/>
      <c r="U25" s="56"/>
    </row>
    <row r="26" spans="1:21" s="51" customFormat="1" ht="17.25" x14ac:dyDescent="0.3">
      <c r="A26" s="220" t="s">
        <v>34</v>
      </c>
      <c r="B26" s="220"/>
      <c r="C26" s="220"/>
      <c r="D26" s="220"/>
      <c r="E26" s="52"/>
      <c r="F26" s="52"/>
      <c r="G26" s="53"/>
      <c r="H26" s="53"/>
      <c r="I26" s="154"/>
      <c r="J26" s="55"/>
      <c r="K26" s="54"/>
      <c r="L26" s="54"/>
      <c r="M26" s="54"/>
      <c r="N26" s="46"/>
      <c r="O26" s="46"/>
      <c r="P26" s="46"/>
      <c r="Q26" s="112"/>
      <c r="R26" s="112"/>
      <c r="S26" s="46"/>
      <c r="T26" s="56"/>
      <c r="U26" s="56"/>
    </row>
    <row r="27" spans="1:21" s="51" customFormat="1" ht="40.5" x14ac:dyDescent="0.25">
      <c r="A27" s="72" t="s">
        <v>1</v>
      </c>
      <c r="B27" s="72" t="s">
        <v>0</v>
      </c>
      <c r="C27" s="72" t="s">
        <v>3</v>
      </c>
      <c r="D27" s="72" t="s">
        <v>78</v>
      </c>
      <c r="E27" s="72" t="s">
        <v>2</v>
      </c>
      <c r="F27" s="72" t="s">
        <v>44</v>
      </c>
      <c r="G27" s="72" t="s">
        <v>45</v>
      </c>
      <c r="H27" s="72" t="s">
        <v>46</v>
      </c>
      <c r="I27" s="153" t="s">
        <v>47</v>
      </c>
      <c r="J27" s="72" t="s">
        <v>48</v>
      </c>
      <c r="K27" s="72" t="s">
        <v>49</v>
      </c>
      <c r="L27" s="72" t="s">
        <v>50</v>
      </c>
      <c r="M27" s="72" t="s">
        <v>189</v>
      </c>
      <c r="N27" s="113" t="s">
        <v>4</v>
      </c>
      <c r="O27" s="113" t="s">
        <v>5</v>
      </c>
      <c r="P27" s="113" t="s">
        <v>99</v>
      </c>
      <c r="Q27" s="113" t="s">
        <v>190</v>
      </c>
      <c r="R27" s="113" t="s">
        <v>229</v>
      </c>
      <c r="S27" s="113" t="s">
        <v>51</v>
      </c>
      <c r="T27" s="113" t="s">
        <v>79</v>
      </c>
      <c r="U27" s="113" t="s">
        <v>52</v>
      </c>
    </row>
    <row r="28" spans="1:21" s="51" customFormat="1" ht="15.75" customHeight="1" x14ac:dyDescent="0.25">
      <c r="A28" s="165" t="s">
        <v>284</v>
      </c>
      <c r="B28" s="165" t="s">
        <v>285</v>
      </c>
      <c r="C28" s="165" t="s">
        <v>109</v>
      </c>
      <c r="D28" s="165" t="s">
        <v>8</v>
      </c>
      <c r="E28" s="100" t="s">
        <v>286</v>
      </c>
      <c r="F28" s="107" t="s">
        <v>185</v>
      </c>
      <c r="G28" s="108" t="s">
        <v>287</v>
      </c>
      <c r="H28" s="108" t="s">
        <v>240</v>
      </c>
      <c r="I28" s="162">
        <v>45778</v>
      </c>
      <c r="J28" s="162"/>
      <c r="K28" s="162"/>
      <c r="L28" s="162"/>
      <c r="M28" s="162"/>
      <c r="N28" s="116"/>
      <c r="O28" s="116"/>
      <c r="P28" s="116">
        <v>139178</v>
      </c>
      <c r="Q28" s="165"/>
      <c r="R28" s="165"/>
      <c r="S28" s="165"/>
      <c r="T28" s="165">
        <f>SUM(Table_Query_from_MS_Access_Database_1[[#This Row],[HURF EX]:[STP OTHER]])</f>
        <v>139178</v>
      </c>
      <c r="U28" s="165">
        <f ca="1">IF(ISTEXT(INDIRECT(ADDRESS(ROW()-1,COLUMN()))),INDIRECT(ADDRESS(12,COLUMN()))-SUM(Table_Query_from_MS_Access_Database8[TOTAL OF AMOUNT]),INDIRECT(ADDRESS(ROW()-1,COLUMN())))-Table_Query_from_MS_Access_Database_1[[#This Row],[TOTAL OF AMOUNT]]</f>
        <v>130908.95000000001</v>
      </c>
    </row>
    <row r="29" spans="1:21" s="51" customFormat="1" ht="15.75" customHeight="1" x14ac:dyDescent="0.25">
      <c r="A29" s="165" t="s">
        <v>263</v>
      </c>
      <c r="B29" s="165" t="s">
        <v>256</v>
      </c>
      <c r="C29" s="165" t="s">
        <v>109</v>
      </c>
      <c r="D29" s="165" t="s">
        <v>7</v>
      </c>
      <c r="E29" s="100" t="s">
        <v>264</v>
      </c>
      <c r="F29" s="107" t="s">
        <v>185</v>
      </c>
      <c r="G29" s="108" t="s">
        <v>100</v>
      </c>
      <c r="H29" s="108" t="s">
        <v>265</v>
      </c>
      <c r="I29" s="162">
        <v>45809</v>
      </c>
      <c r="J29" s="162"/>
      <c r="K29" s="162"/>
      <c r="L29" s="162"/>
      <c r="M29" s="162"/>
      <c r="N29" s="116"/>
      <c r="O29" s="116">
        <v>31250</v>
      </c>
      <c r="P29" s="116"/>
      <c r="Q29" s="165"/>
      <c r="R29" s="165"/>
      <c r="S29" s="165"/>
      <c r="T29" s="165">
        <f>SUM(Table_Query_from_MS_Access_Database_1[[#This Row],[HURF EX]:[STP OTHER]])</f>
        <v>31250</v>
      </c>
      <c r="U29" s="165">
        <f ca="1">IF(ISTEXT(INDIRECT(ADDRESS(ROW()-1,COLUMN()))),INDIRECT(ADDRESS(12,COLUMN()))-SUM(Table_Query_from_MS_Access_Database8[TOTAL OF AMOUNT]),INDIRECT(ADDRESS(ROW()-1,COLUMN())))-Table_Query_from_MS_Access_Database_1[[#This Row],[TOTAL OF AMOUNT]]</f>
        <v>99658.950000000012</v>
      </c>
    </row>
    <row r="30" spans="1:21" s="51" customFormat="1" ht="15.75" customHeight="1" x14ac:dyDescent="0.25">
      <c r="A30" s="165" t="s">
        <v>266</v>
      </c>
      <c r="B30" s="165" t="s">
        <v>267</v>
      </c>
      <c r="C30" s="165" t="s">
        <v>88</v>
      </c>
      <c r="D30" s="165" t="s">
        <v>7</v>
      </c>
      <c r="E30" s="100" t="s">
        <v>268</v>
      </c>
      <c r="F30" s="107" t="s">
        <v>269</v>
      </c>
      <c r="G30" s="108" t="s">
        <v>241</v>
      </c>
      <c r="H30" s="108" t="s">
        <v>241</v>
      </c>
      <c r="I30" s="162">
        <v>45809</v>
      </c>
      <c r="J30" s="162"/>
      <c r="K30" s="162"/>
      <c r="L30" s="162"/>
      <c r="M30" s="162"/>
      <c r="N30" s="116"/>
      <c r="O30" s="116"/>
      <c r="P30" s="116">
        <v>5000</v>
      </c>
      <c r="Q30" s="165"/>
      <c r="R30" s="165"/>
      <c r="S30" s="165"/>
      <c r="T30" s="165">
        <f>SUM(Table_Query_from_MS_Access_Database_1[[#This Row],[HURF EX]:[STP OTHER]])</f>
        <v>5000</v>
      </c>
      <c r="U30" s="165">
        <f ca="1">IF(ISTEXT(INDIRECT(ADDRESS(ROW()-1,COLUMN()))),INDIRECT(ADDRESS(12,COLUMN()))-SUM(Table_Query_from_MS_Access_Database8[TOTAL OF AMOUNT]),INDIRECT(ADDRESS(ROW()-1,COLUMN())))-Table_Query_from_MS_Access_Database_1[[#This Row],[TOTAL OF AMOUNT]]</f>
        <v>94658.950000000012</v>
      </c>
    </row>
    <row r="31" spans="1:21" s="51" customFormat="1" ht="15.75" hidden="1" customHeight="1" x14ac:dyDescent="0.25">
      <c r="A31" s="165"/>
      <c r="B31" s="165"/>
      <c r="C31" s="165"/>
      <c r="D31" s="165"/>
      <c r="E31" s="100"/>
      <c r="F31" s="107"/>
      <c r="G31" s="108"/>
      <c r="H31" s="108"/>
      <c r="I31" s="162"/>
      <c r="J31" s="162"/>
      <c r="K31" s="162"/>
      <c r="L31" s="162"/>
      <c r="M31" s="162"/>
      <c r="N31" s="116"/>
      <c r="O31" s="116"/>
      <c r="P31" s="116"/>
      <c r="Q31" s="165"/>
      <c r="R31" s="165"/>
      <c r="S31" s="165"/>
      <c r="T31" s="165"/>
      <c r="U31" s="165"/>
    </row>
    <row r="32" spans="1:21" s="51" customFormat="1" ht="15.75" hidden="1" customHeight="1" x14ac:dyDescent="0.25">
      <c r="A32" s="165"/>
      <c r="B32" s="165"/>
      <c r="C32" s="165"/>
      <c r="D32" s="165"/>
      <c r="E32" s="100"/>
      <c r="F32" s="107"/>
      <c r="G32" s="108"/>
      <c r="H32" s="108"/>
      <c r="I32" s="162"/>
      <c r="J32" s="162"/>
      <c r="K32" s="162"/>
      <c r="L32" s="162"/>
      <c r="M32" s="162"/>
      <c r="N32" s="116"/>
      <c r="O32" s="116"/>
      <c r="P32" s="116"/>
      <c r="Q32" s="165"/>
      <c r="R32" s="165"/>
      <c r="S32" s="165"/>
      <c r="T32" s="165"/>
      <c r="U32" s="165"/>
    </row>
    <row r="33" spans="1:21" s="51" customFormat="1" ht="15" customHeight="1" x14ac:dyDescent="0.25">
      <c r="I33" s="151"/>
      <c r="J33" s="56"/>
      <c r="K33" s="217" t="s">
        <v>248</v>
      </c>
      <c r="L33" s="218"/>
      <c r="M33" s="117">
        <f>SUM(Table_Query_from_MS_Access_Database_1[[#All],[HURF EX]])</f>
        <v>0</v>
      </c>
      <c r="N33" s="117">
        <f>SUM(Table_Query_from_MS_Access_Database_1[[#All],[HSIP]])</f>
        <v>0</v>
      </c>
      <c r="O33" s="117">
        <f>SUM(Table_Query_from_MS_Access_Database_1[[#All],[SPR]])</f>
        <v>31250</v>
      </c>
      <c r="P33" s="117">
        <f>SUM(Table_Query_from_MS_Access_Database_1[[#All],[STP &lt;5]])</f>
        <v>144178</v>
      </c>
      <c r="Q33" s="117">
        <f>SUM(Table_Query_from_MS_Access_Database_1[[#All],[STP 5-200]])</f>
        <v>0</v>
      </c>
      <c r="R33" s="117">
        <f>SUM(Table_Query_from_MS_Access_Database_1[[#All],[STP 5-50]])</f>
        <v>0</v>
      </c>
      <c r="S33" s="117">
        <f>SUM(Table_Query_from_MS_Access_Database_1[[#All],[STP OTHER]])</f>
        <v>0</v>
      </c>
      <c r="T33" s="117">
        <f>SUBTOTAL(109,Table_Query_from_MS_Access_Database_1[TOTAL OF AMOUNT])</f>
        <v>175428</v>
      </c>
      <c r="U33" s="56"/>
    </row>
    <row r="34" spans="1:21" s="51" customFormat="1" ht="15" customHeight="1" x14ac:dyDescent="0.25">
      <c r="I34" s="151"/>
      <c r="J34" s="56"/>
      <c r="K34" s="217" t="s">
        <v>71</v>
      </c>
      <c r="L34" s="218"/>
      <c r="M34" s="166">
        <f t="shared" ref="M34:S34" si="3">+M24-M33</f>
        <v>0</v>
      </c>
      <c r="N34" s="166">
        <f t="shared" si="3"/>
        <v>0</v>
      </c>
      <c r="O34" s="166">
        <f t="shared" si="3"/>
        <v>0</v>
      </c>
      <c r="P34" s="166">
        <f t="shared" si="3"/>
        <v>226489.95</v>
      </c>
      <c r="Q34" s="166">
        <f t="shared" si="3"/>
        <v>0</v>
      </c>
      <c r="R34" s="166">
        <f t="shared" si="3"/>
        <v>-89999</v>
      </c>
      <c r="S34" s="166">
        <f t="shared" si="3"/>
        <v>0</v>
      </c>
      <c r="T34" s="166">
        <f>+T24-T33</f>
        <v>136490.95000000001</v>
      </c>
      <c r="U34" s="56"/>
    </row>
    <row r="35" spans="1:21" s="49" customFormat="1" x14ac:dyDescent="0.25">
      <c r="I35" s="152"/>
      <c r="J35" s="50"/>
      <c r="K35" s="50"/>
      <c r="L35" s="50"/>
      <c r="M35" s="178">
        <f t="shared" ref="M35:T35" si="4">+M23+M33</f>
        <v>0</v>
      </c>
      <c r="N35" s="178">
        <f t="shared" si="4"/>
        <v>0</v>
      </c>
      <c r="O35" s="178">
        <f t="shared" si="4"/>
        <v>125000</v>
      </c>
      <c r="P35" s="178">
        <f t="shared" si="4"/>
        <v>144178</v>
      </c>
      <c r="Q35" s="178">
        <f t="shared" si="4"/>
        <v>0</v>
      </c>
      <c r="R35" s="178">
        <f t="shared" si="4"/>
        <v>0</v>
      </c>
      <c r="S35" s="178">
        <f t="shared" si="4"/>
        <v>0</v>
      </c>
      <c r="T35" s="178">
        <f t="shared" si="4"/>
        <v>269178</v>
      </c>
      <c r="U35" s="56"/>
    </row>
    <row r="36" spans="1:21" s="49" customFormat="1" x14ac:dyDescent="0.25">
      <c r="I36" s="152"/>
      <c r="J36" s="50"/>
      <c r="K36" s="50"/>
      <c r="L36" s="50"/>
      <c r="M36" s="50"/>
      <c r="N36" s="50"/>
      <c r="O36" s="50"/>
      <c r="P36" s="50"/>
      <c r="Q36" s="50"/>
      <c r="R36" s="50"/>
      <c r="S36" s="50"/>
      <c r="T36" s="56"/>
      <c r="U36" s="56"/>
    </row>
    <row r="37" spans="1:21" ht="17.25" customHeight="1" x14ac:dyDescent="0.25">
      <c r="A37" s="57" t="s">
        <v>73</v>
      </c>
      <c r="B37" s="49"/>
      <c r="C37" s="49"/>
      <c r="D37" s="49"/>
      <c r="E37" s="49"/>
      <c r="F37" s="49"/>
      <c r="G37" s="49"/>
      <c r="H37" s="49"/>
      <c r="I37" s="152"/>
      <c r="J37" s="50"/>
      <c r="K37" s="50"/>
      <c r="L37" s="50"/>
      <c r="M37" s="215" t="s">
        <v>55</v>
      </c>
      <c r="N37" s="215"/>
      <c r="O37" s="215"/>
      <c r="P37" s="215"/>
      <c r="Q37" s="215"/>
      <c r="R37" s="215"/>
      <c r="S37" s="215"/>
      <c r="T37" s="215"/>
      <c r="U37" s="56"/>
    </row>
    <row r="38" spans="1:21" x14ac:dyDescent="0.25">
      <c r="A38" s="51"/>
      <c r="B38" s="51"/>
      <c r="C38" s="51"/>
      <c r="D38" s="51"/>
      <c r="E38" s="51"/>
      <c r="F38" s="51"/>
      <c r="G38" s="51"/>
      <c r="H38" s="51"/>
      <c r="I38" s="151"/>
      <c r="J38" s="56"/>
      <c r="K38" s="56"/>
      <c r="L38" s="56"/>
      <c r="M38" s="114" t="s">
        <v>189</v>
      </c>
      <c r="N38" s="114" t="s">
        <v>4</v>
      </c>
      <c r="O38" s="114" t="s">
        <v>5</v>
      </c>
      <c r="P38" s="114" t="s">
        <v>99</v>
      </c>
      <c r="Q38" s="114" t="s">
        <v>102</v>
      </c>
      <c r="R38" s="168" t="s">
        <v>229</v>
      </c>
      <c r="S38" s="114" t="s">
        <v>51</v>
      </c>
      <c r="T38" s="114" t="s">
        <v>53</v>
      </c>
      <c r="U38" s="115" t="s">
        <v>56</v>
      </c>
    </row>
    <row r="39" spans="1:21" x14ac:dyDescent="0.25">
      <c r="A39" s="179"/>
      <c r="B39" s="180"/>
      <c r="C39" s="180"/>
      <c r="D39" s="180"/>
      <c r="E39" s="180"/>
      <c r="F39" s="180"/>
      <c r="G39" s="180"/>
      <c r="H39" s="180"/>
      <c r="I39" s="180"/>
      <c r="J39" s="180"/>
      <c r="K39" s="180"/>
      <c r="L39" s="80" t="s">
        <v>259</v>
      </c>
      <c r="M39" s="70">
        <f>+M34</f>
        <v>0</v>
      </c>
      <c r="N39" s="161">
        <f t="shared" ref="N39:S39" si="5">+N34</f>
        <v>0</v>
      </c>
      <c r="O39" s="161">
        <f t="shared" si="5"/>
        <v>0</v>
      </c>
      <c r="P39" s="161">
        <f t="shared" si="5"/>
        <v>226489.95</v>
      </c>
      <c r="Q39" s="161">
        <f t="shared" si="5"/>
        <v>0</v>
      </c>
      <c r="R39" s="161">
        <f t="shared" si="5"/>
        <v>-89999</v>
      </c>
      <c r="S39" s="161">
        <f t="shared" si="5"/>
        <v>0</v>
      </c>
      <c r="T39" s="70">
        <f>SUM(M39:S39)</f>
        <v>136490.95000000001</v>
      </c>
      <c r="U39" s="70">
        <f ca="1">U30</f>
        <v>94658.950000000012</v>
      </c>
    </row>
    <row r="40" spans="1:21" x14ac:dyDescent="0.25">
      <c r="A40" s="51"/>
      <c r="B40" s="51"/>
      <c r="C40" s="51"/>
      <c r="D40" s="51"/>
      <c r="E40" s="51"/>
      <c r="F40" s="51"/>
      <c r="G40" s="51"/>
      <c r="H40" s="51"/>
      <c r="I40" s="151"/>
      <c r="J40" s="56"/>
      <c r="K40" s="56"/>
      <c r="L40" s="80" t="s">
        <v>260</v>
      </c>
      <c r="M40" s="110">
        <f>SUMIFS(Table_Query_from_MS_Access_Database[[#All],[Notes]],Table_Query_from_MS_Access_Database[[#All],[Transaction Year]],"2022",Table_Query_from_MS_Access_Database[[#All],[Transaction Type]],"Lapsing")</f>
        <v>0</v>
      </c>
      <c r="N40" s="167">
        <f>SUMIFS(Table_Query_from_MS_Access_Database[[#All],[Total]],Table_Query_from_MS_Access_Database[[#All],[Transaction Type]],"2022",Table_Query_from_MS_Access_Database[[#All],[Number]],"Lapsing")</f>
        <v>0</v>
      </c>
      <c r="O40" s="167">
        <f>SUMIFS(Table_Query_from_MS_Access_Database[[#All],[HURF Exchange]],Table_Query_from_MS_Access_Database[[#All],[Number]],"2022",Table_Query_from_MS_Access_Database[[#All],[From]],"Lapsing")</f>
        <v>0</v>
      </c>
      <c r="P40" s="167">
        <f>SUMIFS(Table_Query_from_MS_Access_Database[[#All],[HSIP]],Table_Query_from_MS_Access_Database[[#All],[From]],"2022",Table_Query_from_MS_Access_Database[[#All],[To]],"Lapsing")</f>
        <v>0</v>
      </c>
      <c r="Q40" s="167">
        <f>SUMIFS(Table_Query_from_MS_Access_Database[[#All],[SPR]],Table_Query_from_MS_Access_Database[[#All],[To]],"2022",Table_Query_from_MS_Access_Database[[#All],[Repayment Year]],"Lapsing")</f>
        <v>0</v>
      </c>
      <c r="R40" s="167">
        <f>SUMIFS(Table_Query_from_MS_Access_Database[[#All],[STP &lt;5]],Table_Query_from_MS_Access_Database[[#All],[Repayment Year]],"2022",Table_Query_from_MS_Access_Database[[#All],[Project8]],"Lapsing")</f>
        <v>0</v>
      </c>
      <c r="S40" s="167">
        <f>SUMIFS(Table_Query_from_MS_Access_Database[[#All],[STP 5-2]],Table_Query_from_MS_Access_Database[[#All],[Project8]],"2022",Table_Query_from_MS_Access_Database[[#All],[Notes]],"Lapsing")</f>
        <v>0</v>
      </c>
      <c r="T40" s="110">
        <f>SUM(M40:S40)</f>
        <v>0</v>
      </c>
      <c r="U40" s="110">
        <f>SUMIFS(Table_Query_from_MS_Access_Database_16[[#All],[To]],Table_Query_from_MS_Access_Database_16[[#All],[Transaction Year]],"2019",Table_Query_from_MS_Access_Database_16[[#All],[Transaction Type]],"Lapsing")</f>
        <v>0</v>
      </c>
    </row>
    <row r="41" spans="1:21" x14ac:dyDescent="0.25">
      <c r="A41" s="51"/>
      <c r="B41" s="51"/>
      <c r="C41" s="51"/>
      <c r="D41" s="51"/>
      <c r="E41" s="51"/>
      <c r="F41" s="51"/>
      <c r="G41" s="51"/>
      <c r="H41" s="51"/>
      <c r="I41" s="151"/>
      <c r="J41" s="56"/>
      <c r="K41" s="56"/>
      <c r="L41" s="80" t="s">
        <v>261</v>
      </c>
      <c r="M41" s="39">
        <f>SUM(M39:M40)</f>
        <v>0</v>
      </c>
      <c r="N41" s="160">
        <f t="shared" ref="N41:S41" si="6">SUM(N39:N40)</f>
        <v>0</v>
      </c>
      <c r="O41" s="160">
        <f t="shared" si="6"/>
        <v>0</v>
      </c>
      <c r="P41" s="160">
        <f t="shared" si="6"/>
        <v>226489.95</v>
      </c>
      <c r="Q41" s="160">
        <f t="shared" si="6"/>
        <v>0</v>
      </c>
      <c r="R41" s="160">
        <f t="shared" si="6"/>
        <v>-89999</v>
      </c>
      <c r="S41" s="160">
        <f t="shared" si="6"/>
        <v>0</v>
      </c>
      <c r="T41" s="160">
        <f>SUM(T39:T40)</f>
        <v>136490.95000000001</v>
      </c>
      <c r="U41" s="39">
        <f ca="1">SUM(U39:U40)</f>
        <v>94658.950000000012</v>
      </c>
    </row>
    <row r="42" spans="1:21" x14ac:dyDescent="0.25">
      <c r="A42" s="51"/>
      <c r="B42" s="51"/>
      <c r="C42" s="51"/>
      <c r="D42" s="51"/>
      <c r="E42" s="51"/>
      <c r="F42" s="51"/>
      <c r="G42" s="51"/>
      <c r="H42" s="51"/>
      <c r="I42" s="151"/>
      <c r="J42" s="56"/>
      <c r="K42" s="56"/>
      <c r="L42" s="81" t="s">
        <v>262</v>
      </c>
      <c r="M42" s="110">
        <f>+M41-M34</f>
        <v>0</v>
      </c>
      <c r="N42" s="167">
        <f t="shared" ref="N42:S42" si="7">+N41-N34</f>
        <v>0</v>
      </c>
      <c r="O42" s="167">
        <f t="shared" si="7"/>
        <v>0</v>
      </c>
      <c r="P42" s="167">
        <f t="shared" si="7"/>
        <v>0</v>
      </c>
      <c r="Q42" s="167">
        <f t="shared" si="7"/>
        <v>0</v>
      </c>
      <c r="R42" s="167">
        <f t="shared" si="7"/>
        <v>0</v>
      </c>
      <c r="S42" s="167">
        <f t="shared" si="7"/>
        <v>0</v>
      </c>
      <c r="T42" s="110">
        <f>SUM(M42:S42)</f>
        <v>0</v>
      </c>
      <c r="U42" s="110">
        <f>SUM(M42:T42)</f>
        <v>0</v>
      </c>
    </row>
    <row r="45" spans="1:21" ht="17.25" x14ac:dyDescent="0.25">
      <c r="A45" s="214" t="s">
        <v>289</v>
      </c>
    </row>
    <row r="47" spans="1:21" x14ac:dyDescent="0.25">
      <c r="A47" s="148" t="s">
        <v>288</v>
      </c>
      <c r="B47" s="159"/>
    </row>
    <row r="48" spans="1:21" x14ac:dyDescent="0.25">
      <c r="A48" s="159"/>
      <c r="B48" s="199" t="s">
        <v>281</v>
      </c>
    </row>
    <row r="49" spans="1:2" x14ac:dyDescent="0.25">
      <c r="A49" s="159"/>
      <c r="B49" s="199" t="s">
        <v>282</v>
      </c>
    </row>
    <row r="51" spans="1:2" x14ac:dyDescent="0.25">
      <c r="A51" s="148" t="s">
        <v>291</v>
      </c>
      <c r="B51" s="148"/>
    </row>
    <row r="52" spans="1:2" x14ac:dyDescent="0.25">
      <c r="A52" s="148"/>
      <c r="B52" s="148" t="s">
        <v>292</v>
      </c>
    </row>
    <row r="53" spans="1:2" x14ac:dyDescent="0.25">
      <c r="A53" s="148"/>
      <c r="B53" s="148" t="s">
        <v>293</v>
      </c>
    </row>
    <row r="54" spans="1:2" x14ac:dyDescent="0.25">
      <c r="A54" s="148"/>
      <c r="B54" s="148" t="s">
        <v>294</v>
      </c>
    </row>
  </sheetData>
  <sheetProtection autoFilter="0"/>
  <mergeCells count="13">
    <mergeCell ref="M37:T37"/>
    <mergeCell ref="M1:T1"/>
    <mergeCell ref="K34:L34"/>
    <mergeCell ref="K33:L33"/>
    <mergeCell ref="A1:F1"/>
    <mergeCell ref="A14:D14"/>
    <mergeCell ref="A3:D3"/>
    <mergeCell ref="A26:D26"/>
    <mergeCell ref="I14:L14"/>
    <mergeCell ref="K24:L24"/>
    <mergeCell ref="A9:J9"/>
    <mergeCell ref="M2:T2"/>
    <mergeCell ref="A5:D5"/>
  </mergeCells>
  <pageMargins left="0.5" right="0.25" top="0.75" bottom="0.5" header="0.3" footer="0.3"/>
  <pageSetup paperSize="17" scale="73" fitToHeight="0" orientation="landscape" horizontalDpi="1200" verticalDpi="1200" r:id="rId1"/>
  <headerFooter>
    <oddFooter>&amp;L&amp;8&amp;Z&amp;F&amp;R&amp;P of &amp;N</oddFooter>
  </headerFooter>
  <drawing r:id="rId2"/>
  <tableParts count="2">
    <tablePart r:id="rId3"/>
    <tablePart r:id="rId4"/>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AN173"/>
  <sheetViews>
    <sheetView zoomScaleNormal="100" workbookViewId="0">
      <selection sqref="A1:F1"/>
    </sheetView>
  </sheetViews>
  <sheetFormatPr defaultColWidth="19.7109375" defaultRowHeight="15" x14ac:dyDescent="0.25"/>
  <cols>
    <col min="1" max="1" width="19.5703125" style="25" customWidth="1"/>
    <col min="2" max="2" width="19.85546875" style="25" customWidth="1"/>
    <col min="3" max="3" width="20.28515625" style="25" bestFit="1" customWidth="1"/>
    <col min="4" max="5" width="10.42578125" style="25" bestFit="1" customWidth="1"/>
    <col min="6" max="6" width="19.5703125" style="25" customWidth="1"/>
    <col min="7" max="7" width="34.7109375" style="25" bestFit="1" customWidth="1"/>
    <col min="8" max="8" width="52.85546875" style="26" bestFit="1" customWidth="1"/>
    <col min="9" max="9" width="14" style="25" bestFit="1" customWidth="1"/>
    <col min="10" max="10" width="18.42578125" style="25" customWidth="1"/>
    <col min="11" max="11" width="12.28515625" style="25" bestFit="1" customWidth="1"/>
    <col min="12" max="12" width="8" style="25" customWidth="1"/>
    <col min="13" max="14" width="12.28515625" style="25" bestFit="1" customWidth="1"/>
    <col min="15" max="15" width="12" style="25" bestFit="1" customWidth="1"/>
    <col min="16" max="16" width="14" style="25" bestFit="1" customWidth="1"/>
    <col min="17" max="17" width="12.28515625" style="25" bestFit="1" customWidth="1"/>
    <col min="18" max="19" width="12.5703125" style="25" hidden="1" customWidth="1"/>
    <col min="20" max="20" width="13.28515625" style="25" customWidth="1"/>
    <col min="21" max="21" width="10.28515625" style="25" customWidth="1"/>
    <col min="22" max="22" width="11" style="25" customWidth="1"/>
    <col min="23" max="23" width="11.5703125" style="25" customWidth="1"/>
    <col min="24" max="24" width="7.7109375" style="25" customWidth="1"/>
    <col min="25" max="25" width="10.140625" style="25" customWidth="1"/>
    <col min="26" max="26" width="10.7109375" style="25" customWidth="1"/>
    <col min="27" max="27" width="13.28515625" style="25" customWidth="1"/>
    <col min="28" max="28" width="16.5703125" style="25" customWidth="1"/>
    <col min="29" max="29" width="11.7109375" style="25" customWidth="1"/>
    <col min="30" max="30" width="15.7109375" style="25" customWidth="1"/>
    <col min="31" max="31" width="13.42578125" style="25" customWidth="1"/>
    <col min="32" max="32" width="15.7109375" style="25" customWidth="1"/>
    <col min="33" max="34" width="9.5703125" style="25" customWidth="1"/>
    <col min="35" max="35" width="11.85546875" style="25" customWidth="1"/>
    <col min="36" max="36" width="64.28515625" style="25" customWidth="1"/>
    <col min="37" max="37" width="14" style="25" customWidth="1"/>
    <col min="38" max="38" width="16.85546875" style="25" customWidth="1"/>
    <col min="39" max="39" width="12.140625" style="25" customWidth="1"/>
    <col min="40" max="40" width="16" style="25" customWidth="1"/>
    <col min="41" max="16384" width="19.7109375" style="9"/>
  </cols>
  <sheetData>
    <row r="1" spans="1:40" ht="18.75" x14ac:dyDescent="0.25">
      <c r="A1" s="230" t="str">
        <f>+'Federal Funds Transactions'!A1:F1</f>
        <v>Western Arizona Council of Governments</v>
      </c>
      <c r="B1" s="230"/>
      <c r="C1" s="230"/>
      <c r="D1" s="230"/>
      <c r="E1" s="230"/>
      <c r="F1" s="230"/>
    </row>
    <row r="2" spans="1:40" x14ac:dyDescent="0.25">
      <c r="A2" s="27"/>
      <c r="B2" s="27"/>
      <c r="C2" s="27"/>
      <c r="D2" s="27"/>
      <c r="E2" s="27"/>
      <c r="F2" s="27"/>
    </row>
    <row r="3" spans="1:40" x14ac:dyDescent="0.25">
      <c r="A3" s="231" t="s">
        <v>77</v>
      </c>
      <c r="B3" s="231"/>
      <c r="C3" s="231"/>
      <c r="D3" s="231"/>
      <c r="E3" s="231"/>
      <c r="F3" s="231"/>
    </row>
    <row r="4" spans="1:40" x14ac:dyDescent="0.25">
      <c r="A4" s="28"/>
      <c r="B4" s="28"/>
      <c r="C4" s="28"/>
      <c r="D4" s="28"/>
      <c r="E4" s="28"/>
      <c r="F4" s="28"/>
    </row>
    <row r="5" spans="1:40" x14ac:dyDescent="0.25">
      <c r="A5" s="25" t="s">
        <v>76</v>
      </c>
      <c r="B5" s="64">
        <f>+'Federal Funds Transactions'!C6</f>
        <v>45721</v>
      </c>
      <c r="C5" s="27"/>
      <c r="D5" s="27"/>
      <c r="E5" s="27"/>
      <c r="F5" s="27"/>
    </row>
    <row r="6" spans="1:40" x14ac:dyDescent="0.25">
      <c r="A6" s="27"/>
      <c r="B6" s="27"/>
      <c r="C6" s="27"/>
      <c r="D6" s="27"/>
      <c r="E6" s="27"/>
      <c r="F6" s="27"/>
    </row>
    <row r="7" spans="1:40" ht="15" customHeight="1" x14ac:dyDescent="0.25">
      <c r="A7" s="233" t="str">
        <f>+'Federal Funds Transactions'!A9:L9</f>
        <v>IMPORTANT! Please review the information in the Notes tab for further explanation of the data in this document.</v>
      </c>
      <c r="B7" s="233"/>
      <c r="C7" s="233"/>
      <c r="D7" s="233"/>
      <c r="E7" s="233"/>
      <c r="F7" s="233"/>
      <c r="G7" s="233"/>
      <c r="H7" s="233"/>
    </row>
    <row r="9" spans="1:40" ht="15.75" customHeight="1" x14ac:dyDescent="0.25">
      <c r="A9" s="232" t="s">
        <v>75</v>
      </c>
      <c r="B9" s="232"/>
      <c r="C9" s="232"/>
      <c r="D9" s="232"/>
      <c r="E9" s="232"/>
      <c r="F9" s="232"/>
      <c r="G9" s="232"/>
      <c r="M9" s="29"/>
      <c r="N9" s="29"/>
      <c r="O9" s="29"/>
      <c r="P9" s="29"/>
      <c r="Q9" s="29"/>
      <c r="R9" s="29"/>
      <c r="S9" s="29"/>
      <c r="T9" s="29"/>
      <c r="U9" s="29"/>
      <c r="V9" s="29"/>
      <c r="W9" s="29"/>
      <c r="X9" s="29"/>
      <c r="Y9" s="29"/>
      <c r="Z9" s="29"/>
      <c r="AA9" s="29"/>
      <c r="AB9" s="29"/>
      <c r="AC9" s="29"/>
      <c r="AD9" s="29"/>
      <c r="AE9" s="29"/>
      <c r="AF9" s="29"/>
      <c r="AG9" s="29"/>
      <c r="AH9" s="29"/>
      <c r="AI9" s="29"/>
      <c r="AJ9" s="29"/>
      <c r="AK9" s="29"/>
      <c r="AL9" s="29"/>
    </row>
    <row r="10" spans="1:40" ht="15.75" x14ac:dyDescent="0.25">
      <c r="A10" s="30"/>
      <c r="B10" s="30"/>
      <c r="C10" s="30"/>
      <c r="D10" s="30"/>
      <c r="E10" s="31"/>
      <c r="F10" s="31"/>
      <c r="G10" s="31"/>
      <c r="H10" s="32"/>
      <c r="I10" s="31"/>
      <c r="J10" s="31"/>
      <c r="K10" s="31"/>
      <c r="L10" s="31"/>
      <c r="M10" s="29"/>
      <c r="N10" s="29"/>
      <c r="O10" s="29"/>
      <c r="P10" s="29"/>
      <c r="Q10" s="29"/>
      <c r="R10" s="29"/>
      <c r="S10" s="29"/>
      <c r="T10" s="29"/>
      <c r="U10" s="29"/>
      <c r="V10" s="29"/>
      <c r="W10" s="29"/>
      <c r="X10" s="29"/>
      <c r="Y10" s="29"/>
      <c r="Z10" s="29"/>
      <c r="AA10" s="29"/>
      <c r="AB10" s="29"/>
      <c r="AC10" s="29"/>
      <c r="AD10" s="29"/>
      <c r="AE10" s="29"/>
      <c r="AF10" s="29"/>
      <c r="AG10" s="29"/>
      <c r="AH10" s="29"/>
      <c r="AI10" s="29"/>
      <c r="AJ10" s="29"/>
      <c r="AK10" s="29"/>
      <c r="AL10" s="29"/>
      <c r="AM10" s="31"/>
      <c r="AN10" s="31"/>
    </row>
    <row r="11" spans="1:40" x14ac:dyDescent="0.25">
      <c r="A11" s="68" t="s">
        <v>41</v>
      </c>
      <c r="B11" s="69" t="s">
        <v>42</v>
      </c>
      <c r="C11" s="69" t="s">
        <v>13</v>
      </c>
      <c r="D11" s="69" t="s">
        <v>81</v>
      </c>
      <c r="E11" s="69" t="s">
        <v>82</v>
      </c>
      <c r="F11" s="69" t="s">
        <v>43</v>
      </c>
      <c r="G11" s="69" t="s">
        <v>83</v>
      </c>
      <c r="H11" s="69" t="s">
        <v>84</v>
      </c>
      <c r="I11" s="69" t="s">
        <v>10</v>
      </c>
      <c r="J11" s="69" t="s">
        <v>188</v>
      </c>
      <c r="K11" s="69" t="s">
        <v>4</v>
      </c>
      <c r="L11" s="69" t="s">
        <v>5</v>
      </c>
      <c r="M11" s="69" t="s">
        <v>99</v>
      </c>
      <c r="N11" s="69" t="s">
        <v>102</v>
      </c>
      <c r="O11" s="69" t="s">
        <v>229</v>
      </c>
      <c r="P11" s="69" t="s">
        <v>186</v>
      </c>
      <c r="Q11" s="69" t="s">
        <v>187</v>
      </c>
      <c r="R11" s="69" t="s">
        <v>230</v>
      </c>
      <c r="S11" s="69" t="s">
        <v>231</v>
      </c>
      <c r="T11" s="31"/>
      <c r="U11" s="31"/>
      <c r="V11" s="31"/>
      <c r="W11" s="31"/>
      <c r="X11" s="31"/>
      <c r="Y11" s="31"/>
      <c r="Z11" s="31"/>
      <c r="AA11" s="31"/>
      <c r="AB11" s="9"/>
      <c r="AC11" s="9"/>
      <c r="AD11" s="9"/>
      <c r="AE11" s="9"/>
      <c r="AF11" s="9"/>
      <c r="AG11" s="9"/>
      <c r="AH11" s="9"/>
      <c r="AI11" s="9"/>
      <c r="AJ11" s="9"/>
      <c r="AK11" s="9"/>
      <c r="AL11" s="9"/>
      <c r="AM11" s="9"/>
      <c r="AN11" s="9"/>
    </row>
    <row r="12" spans="1:40" x14ac:dyDescent="0.25">
      <c r="A12" s="60" t="s">
        <v>111</v>
      </c>
      <c r="B12" s="58" t="s">
        <v>114</v>
      </c>
      <c r="C12" s="58" t="s">
        <v>112</v>
      </c>
      <c r="D12" s="58" t="s">
        <v>110</v>
      </c>
      <c r="E12" s="58" t="s">
        <v>109</v>
      </c>
      <c r="F12" s="58" t="s">
        <v>93</v>
      </c>
      <c r="G12" s="58"/>
      <c r="H12" s="58" t="s">
        <v>115</v>
      </c>
      <c r="I12" s="58">
        <v>1515000</v>
      </c>
      <c r="J12" s="58"/>
      <c r="K12" s="58"/>
      <c r="L12" s="59"/>
      <c r="M12" s="59"/>
      <c r="N12" s="101"/>
      <c r="O12" s="101"/>
      <c r="P12" s="101">
        <v>1515000</v>
      </c>
      <c r="Q12" s="101"/>
      <c r="R12" s="101"/>
      <c r="S12" s="31"/>
      <c r="T12" s="101"/>
      <c r="U12" s="101"/>
      <c r="V12" s="101"/>
      <c r="W12" s="101"/>
      <c r="X12" s="66"/>
      <c r="Y12" s="66"/>
      <c r="Z12" s="66"/>
      <c r="AA12" s="66"/>
      <c r="AB12" s="9"/>
      <c r="AC12" s="9"/>
      <c r="AD12" s="9"/>
      <c r="AE12" s="9"/>
      <c r="AF12" s="9"/>
      <c r="AG12" s="9"/>
      <c r="AH12" s="9"/>
      <c r="AI12" s="9"/>
      <c r="AJ12" s="9"/>
      <c r="AK12" s="9"/>
      <c r="AL12" s="9"/>
      <c r="AM12" s="9"/>
      <c r="AN12" s="9"/>
    </row>
    <row r="13" spans="1:40" x14ac:dyDescent="0.25">
      <c r="A13" s="61" t="s">
        <v>111</v>
      </c>
      <c r="B13" s="59" t="s">
        <v>86</v>
      </c>
      <c r="C13" s="59" t="s">
        <v>116</v>
      </c>
      <c r="D13" s="59" t="s">
        <v>109</v>
      </c>
      <c r="E13" s="59" t="s">
        <v>88</v>
      </c>
      <c r="F13" s="59" t="s">
        <v>89</v>
      </c>
      <c r="G13" s="59" t="s">
        <v>117</v>
      </c>
      <c r="H13" s="59" t="s">
        <v>118</v>
      </c>
      <c r="I13" s="59">
        <v>-220000</v>
      </c>
      <c r="J13" s="59"/>
      <c r="K13" s="59">
        <v>-220000</v>
      </c>
      <c r="L13" s="59"/>
      <c r="M13" s="59"/>
      <c r="N13" s="101"/>
      <c r="O13" s="101"/>
      <c r="P13" s="101"/>
      <c r="Q13" s="101"/>
      <c r="R13" s="101"/>
      <c r="S13" s="31"/>
      <c r="T13" s="101"/>
      <c r="U13" s="101"/>
      <c r="V13" s="101"/>
      <c r="W13" s="101"/>
      <c r="X13" s="66"/>
      <c r="Y13" s="66"/>
      <c r="Z13" s="66"/>
      <c r="AA13" s="66"/>
      <c r="AB13" s="9"/>
      <c r="AC13" s="9"/>
      <c r="AD13" s="9"/>
      <c r="AE13" s="9"/>
      <c r="AF13" s="9"/>
      <c r="AG13" s="9"/>
      <c r="AH13" s="9"/>
      <c r="AI13" s="9"/>
      <c r="AJ13" s="9"/>
      <c r="AK13" s="9"/>
      <c r="AL13" s="9"/>
      <c r="AM13" s="9"/>
      <c r="AN13" s="9"/>
    </row>
    <row r="14" spans="1:40" x14ac:dyDescent="0.25">
      <c r="A14" s="61" t="s">
        <v>111</v>
      </c>
      <c r="B14" s="59" t="s">
        <v>101</v>
      </c>
      <c r="C14" s="59" t="s">
        <v>119</v>
      </c>
      <c r="D14" s="59" t="s">
        <v>109</v>
      </c>
      <c r="E14" s="59" t="s">
        <v>88</v>
      </c>
      <c r="F14" s="59"/>
      <c r="G14" s="59"/>
      <c r="H14" s="59" t="s">
        <v>120</v>
      </c>
      <c r="I14" s="59">
        <v>-380000</v>
      </c>
      <c r="J14" s="59"/>
      <c r="K14" s="59">
        <v>-380000</v>
      </c>
      <c r="L14" s="59"/>
      <c r="M14" s="59"/>
      <c r="N14" s="101"/>
      <c r="O14" s="101"/>
      <c r="P14" s="101"/>
      <c r="Q14" s="101"/>
      <c r="R14" s="101"/>
      <c r="S14" s="31"/>
      <c r="T14" s="101"/>
      <c r="U14" s="101"/>
      <c r="V14" s="101"/>
      <c r="W14" s="101"/>
      <c r="X14" s="66"/>
      <c r="Y14" s="66"/>
      <c r="Z14" s="66"/>
      <c r="AA14" s="66"/>
      <c r="AB14" s="9"/>
      <c r="AC14" s="9"/>
      <c r="AD14" s="9"/>
      <c r="AE14" s="9"/>
      <c r="AF14" s="9"/>
      <c r="AG14" s="9"/>
      <c r="AH14" s="9"/>
      <c r="AI14" s="9"/>
      <c r="AJ14" s="9"/>
      <c r="AK14" s="9"/>
      <c r="AL14" s="9"/>
      <c r="AM14" s="9"/>
      <c r="AN14" s="9"/>
    </row>
    <row r="15" spans="1:40" x14ac:dyDescent="0.25">
      <c r="A15" s="61" t="s">
        <v>106</v>
      </c>
      <c r="B15" s="59" t="s">
        <v>86</v>
      </c>
      <c r="C15" s="59" t="s">
        <v>121</v>
      </c>
      <c r="D15" s="59" t="s">
        <v>109</v>
      </c>
      <c r="E15" s="59" t="s">
        <v>88</v>
      </c>
      <c r="F15" s="59" t="s">
        <v>89</v>
      </c>
      <c r="G15" s="59" t="s">
        <v>117</v>
      </c>
      <c r="H15" s="59" t="s">
        <v>122</v>
      </c>
      <c r="I15" s="59">
        <v>-559770</v>
      </c>
      <c r="J15" s="59"/>
      <c r="K15" s="59">
        <v>-559770</v>
      </c>
      <c r="L15" s="59"/>
      <c r="M15" s="59"/>
      <c r="N15" s="101"/>
      <c r="O15" s="101"/>
      <c r="P15" s="101"/>
      <c r="Q15" s="101"/>
      <c r="R15" s="101"/>
      <c r="S15" s="31"/>
      <c r="T15" s="101"/>
      <c r="U15" s="101"/>
      <c r="V15" s="101"/>
      <c r="W15" s="101"/>
      <c r="X15" s="66"/>
      <c r="Y15" s="66"/>
      <c r="Z15" s="66"/>
      <c r="AA15" s="66"/>
      <c r="AB15" s="9"/>
      <c r="AC15" s="9"/>
      <c r="AD15" s="9"/>
      <c r="AE15" s="9"/>
      <c r="AF15" s="9"/>
      <c r="AG15" s="9"/>
      <c r="AH15" s="9"/>
      <c r="AI15" s="9"/>
      <c r="AJ15" s="9"/>
      <c r="AK15" s="9"/>
      <c r="AL15" s="9"/>
      <c r="AM15" s="9"/>
      <c r="AN15" s="9"/>
    </row>
    <row r="16" spans="1:40" x14ac:dyDescent="0.25">
      <c r="A16" s="61" t="s">
        <v>89</v>
      </c>
      <c r="B16" s="59" t="s">
        <v>95</v>
      </c>
      <c r="C16" s="59" t="s">
        <v>123</v>
      </c>
      <c r="D16" s="59" t="s">
        <v>109</v>
      </c>
      <c r="E16" s="59" t="s">
        <v>88</v>
      </c>
      <c r="F16" s="59" t="s">
        <v>96</v>
      </c>
      <c r="G16" s="59"/>
      <c r="H16" s="59" t="s">
        <v>124</v>
      </c>
      <c r="I16" s="59">
        <v>-263878.89</v>
      </c>
      <c r="J16" s="59"/>
      <c r="K16" s="59">
        <v>-263878.89</v>
      </c>
      <c r="L16" s="59"/>
      <c r="M16" s="59"/>
      <c r="N16" s="101"/>
      <c r="O16" s="101"/>
      <c r="P16" s="101"/>
      <c r="Q16" s="101"/>
      <c r="R16" s="101"/>
      <c r="S16" s="31"/>
      <c r="T16" s="101"/>
      <c r="U16" s="101"/>
      <c r="V16" s="101"/>
      <c r="W16" s="101"/>
      <c r="X16" s="66"/>
      <c r="Y16" s="66"/>
      <c r="Z16" s="66"/>
      <c r="AA16" s="66"/>
      <c r="AB16" s="9"/>
      <c r="AC16" s="9"/>
      <c r="AD16" s="9"/>
      <c r="AE16" s="9"/>
      <c r="AF16" s="9"/>
      <c r="AG16" s="9"/>
      <c r="AH16" s="9"/>
      <c r="AI16" s="9"/>
      <c r="AJ16" s="9"/>
      <c r="AK16" s="9"/>
      <c r="AL16" s="9"/>
      <c r="AM16" s="9"/>
      <c r="AN16" s="9"/>
    </row>
    <row r="17" spans="1:40" x14ac:dyDescent="0.25">
      <c r="A17" s="62" t="s">
        <v>89</v>
      </c>
      <c r="B17" s="63" t="s">
        <v>114</v>
      </c>
      <c r="C17" s="63" t="s">
        <v>125</v>
      </c>
      <c r="D17" s="63" t="s">
        <v>91</v>
      </c>
      <c r="E17" s="63" t="s">
        <v>109</v>
      </c>
      <c r="F17" s="63" t="s">
        <v>93</v>
      </c>
      <c r="G17" s="63"/>
      <c r="H17" s="63" t="s">
        <v>126</v>
      </c>
      <c r="I17" s="63">
        <v>212090</v>
      </c>
      <c r="J17" s="63"/>
      <c r="K17" s="63"/>
      <c r="L17" s="63"/>
      <c r="M17" s="63"/>
      <c r="N17" s="101"/>
      <c r="O17" s="101"/>
      <c r="P17" s="101">
        <v>212090</v>
      </c>
      <c r="Q17" s="101"/>
      <c r="R17" s="101"/>
      <c r="S17" s="31"/>
      <c r="T17" s="101"/>
      <c r="U17" s="101"/>
      <c r="V17" s="101"/>
      <c r="W17" s="101"/>
      <c r="X17" s="66"/>
      <c r="Y17" s="66"/>
      <c r="Z17" s="66"/>
      <c r="AA17" s="66"/>
      <c r="AB17" s="9"/>
      <c r="AC17" s="9"/>
      <c r="AD17" s="9"/>
      <c r="AE17" s="9"/>
      <c r="AF17" s="9"/>
      <c r="AG17" s="9"/>
      <c r="AH17" s="9"/>
      <c r="AI17" s="9"/>
      <c r="AJ17" s="9"/>
      <c r="AK17" s="9"/>
      <c r="AL17" s="9"/>
      <c r="AM17" s="9"/>
      <c r="AN17" s="9"/>
    </row>
    <row r="18" spans="1:40" x14ac:dyDescent="0.25">
      <c r="A18" s="76" t="s">
        <v>89</v>
      </c>
      <c r="B18" s="77" t="s">
        <v>86</v>
      </c>
      <c r="C18" s="77" t="s">
        <v>127</v>
      </c>
      <c r="D18" s="77" t="s">
        <v>109</v>
      </c>
      <c r="E18" s="77" t="s">
        <v>88</v>
      </c>
      <c r="F18" s="77" t="s">
        <v>93</v>
      </c>
      <c r="G18" s="77"/>
      <c r="H18" s="77" t="s">
        <v>128</v>
      </c>
      <c r="I18" s="77">
        <v>-1515000</v>
      </c>
      <c r="J18" s="77"/>
      <c r="K18" s="77"/>
      <c r="L18" s="77"/>
      <c r="M18" s="77"/>
      <c r="N18" s="101"/>
      <c r="O18" s="101"/>
      <c r="P18" s="101">
        <v>-1515000</v>
      </c>
      <c r="Q18" s="101"/>
      <c r="R18" s="101"/>
      <c r="S18" s="31"/>
      <c r="T18" s="101"/>
      <c r="U18" s="101"/>
      <c r="V18" s="101"/>
      <c r="W18" s="101"/>
      <c r="X18" s="66"/>
      <c r="Y18" s="66"/>
      <c r="Z18" s="66"/>
      <c r="AA18" s="66"/>
      <c r="AB18" s="9"/>
      <c r="AC18" s="9"/>
      <c r="AD18" s="9"/>
      <c r="AE18" s="9"/>
      <c r="AF18" s="9"/>
      <c r="AG18" s="9"/>
      <c r="AH18" s="9"/>
      <c r="AI18" s="9"/>
      <c r="AJ18" s="9"/>
      <c r="AK18" s="9"/>
      <c r="AL18" s="9"/>
      <c r="AM18" s="9"/>
      <c r="AN18" s="9"/>
    </row>
    <row r="19" spans="1:40" x14ac:dyDescent="0.25">
      <c r="A19" s="83" t="s">
        <v>89</v>
      </c>
      <c r="B19" s="85" t="s">
        <v>86</v>
      </c>
      <c r="C19" s="85" t="s">
        <v>129</v>
      </c>
      <c r="D19" s="85" t="s">
        <v>109</v>
      </c>
      <c r="E19" s="85" t="s">
        <v>88</v>
      </c>
      <c r="F19" s="85" t="s">
        <v>92</v>
      </c>
      <c r="G19" s="85" t="s">
        <v>130</v>
      </c>
      <c r="H19" s="85" t="s">
        <v>131</v>
      </c>
      <c r="I19" s="85">
        <v>-580186</v>
      </c>
      <c r="J19" s="85"/>
      <c r="K19" s="85"/>
      <c r="L19" s="85"/>
      <c r="M19" s="85"/>
      <c r="N19" s="101"/>
      <c r="O19" s="101"/>
      <c r="P19" s="101">
        <v>-580186</v>
      </c>
      <c r="Q19" s="101"/>
      <c r="R19" s="101"/>
      <c r="S19" s="31"/>
      <c r="T19" s="101"/>
      <c r="U19" s="101"/>
      <c r="V19" s="101"/>
      <c r="W19" s="101"/>
      <c r="X19" s="66"/>
      <c r="Y19" s="66"/>
      <c r="Z19" s="66"/>
      <c r="AA19" s="66"/>
      <c r="AF19" s="9"/>
      <c r="AG19" s="9"/>
      <c r="AH19" s="9"/>
      <c r="AI19" s="9"/>
      <c r="AJ19" s="9"/>
      <c r="AK19" s="9"/>
      <c r="AL19" s="9"/>
      <c r="AM19" s="9"/>
      <c r="AN19" s="9"/>
    </row>
    <row r="20" spans="1:40" x14ac:dyDescent="0.25">
      <c r="A20" s="84" t="s">
        <v>89</v>
      </c>
      <c r="B20" s="86" t="s">
        <v>86</v>
      </c>
      <c r="C20" s="86" t="s">
        <v>132</v>
      </c>
      <c r="D20" s="86" t="s">
        <v>109</v>
      </c>
      <c r="E20" s="86" t="s">
        <v>108</v>
      </c>
      <c r="F20" s="86" t="s">
        <v>92</v>
      </c>
      <c r="G20" s="86" t="s">
        <v>133</v>
      </c>
      <c r="H20" s="86" t="s">
        <v>134</v>
      </c>
      <c r="I20" s="86">
        <v>-127122</v>
      </c>
      <c r="J20" s="86"/>
      <c r="K20" s="86">
        <v>-127122</v>
      </c>
      <c r="L20" s="86"/>
      <c r="M20" s="86"/>
      <c r="N20" s="101"/>
      <c r="O20" s="101"/>
      <c r="P20" s="101"/>
      <c r="Q20" s="101"/>
      <c r="R20" s="101"/>
      <c r="S20" s="31"/>
      <c r="T20" s="101"/>
      <c r="U20" s="101"/>
      <c r="V20" s="101"/>
      <c r="W20" s="101"/>
      <c r="X20" s="66"/>
      <c r="Y20" s="66"/>
      <c r="Z20" s="66"/>
      <c r="AA20" s="66"/>
      <c r="AB20" s="67"/>
      <c r="AC20" s="67"/>
      <c r="AD20" s="67"/>
      <c r="AE20" s="67"/>
      <c r="AF20" s="9"/>
      <c r="AG20" s="9"/>
      <c r="AH20" s="9"/>
      <c r="AI20" s="9"/>
      <c r="AJ20" s="9"/>
      <c r="AK20" s="9"/>
      <c r="AL20" s="9"/>
      <c r="AM20" s="9"/>
      <c r="AN20" s="9"/>
    </row>
    <row r="21" spans="1:40" x14ac:dyDescent="0.25">
      <c r="A21" s="88" t="s">
        <v>89</v>
      </c>
      <c r="B21" s="89" t="s">
        <v>86</v>
      </c>
      <c r="C21" s="89" t="s">
        <v>135</v>
      </c>
      <c r="D21" s="89" t="s">
        <v>109</v>
      </c>
      <c r="E21" s="89" t="s">
        <v>88</v>
      </c>
      <c r="F21" s="89" t="s">
        <v>92</v>
      </c>
      <c r="G21" s="89" t="s">
        <v>136</v>
      </c>
      <c r="H21" s="89" t="s">
        <v>137</v>
      </c>
      <c r="I21" s="89">
        <v>-31179</v>
      </c>
      <c r="J21" s="89"/>
      <c r="K21" s="89"/>
      <c r="L21" s="89"/>
      <c r="M21" s="89"/>
      <c r="N21" s="101"/>
      <c r="O21" s="101"/>
      <c r="P21" s="101">
        <v>-31179</v>
      </c>
      <c r="Q21" s="101"/>
      <c r="R21" s="101"/>
      <c r="S21" s="31"/>
      <c r="T21" s="101"/>
      <c r="U21" s="101"/>
      <c r="V21" s="101"/>
      <c r="W21" s="101"/>
      <c r="X21" s="66"/>
      <c r="Y21" s="66"/>
      <c r="Z21" s="66"/>
      <c r="AA21" s="66"/>
      <c r="AF21" s="9"/>
      <c r="AG21" s="9"/>
      <c r="AH21" s="9"/>
      <c r="AI21" s="9"/>
      <c r="AJ21" s="9"/>
      <c r="AK21" s="9"/>
      <c r="AL21" s="9"/>
      <c r="AM21" s="9"/>
      <c r="AN21" s="9"/>
    </row>
    <row r="22" spans="1:40" x14ac:dyDescent="0.25">
      <c r="A22" s="90" t="s">
        <v>89</v>
      </c>
      <c r="B22" s="91" t="s">
        <v>87</v>
      </c>
      <c r="C22" s="91" t="s">
        <v>121</v>
      </c>
      <c r="D22" s="91" t="s">
        <v>88</v>
      </c>
      <c r="E22" s="91" t="s">
        <v>109</v>
      </c>
      <c r="F22" s="91" t="s">
        <v>89</v>
      </c>
      <c r="G22" s="91" t="s">
        <v>117</v>
      </c>
      <c r="H22" s="91" t="s">
        <v>138</v>
      </c>
      <c r="I22" s="91">
        <v>559770</v>
      </c>
      <c r="J22" s="91"/>
      <c r="K22" s="91">
        <v>559770</v>
      </c>
      <c r="L22" s="91"/>
      <c r="M22" s="91"/>
      <c r="N22" s="101"/>
      <c r="O22" s="101"/>
      <c r="P22" s="101"/>
      <c r="Q22" s="101"/>
      <c r="R22" s="101"/>
      <c r="S22" s="31"/>
      <c r="T22" s="101"/>
      <c r="U22" s="101"/>
      <c r="V22" s="101"/>
      <c r="W22" s="101"/>
      <c r="X22" s="66"/>
      <c r="Y22" s="66"/>
      <c r="Z22" s="66"/>
      <c r="AA22" s="66"/>
      <c r="AF22" s="9"/>
      <c r="AG22" s="9"/>
      <c r="AH22" s="9"/>
      <c r="AI22" s="9"/>
      <c r="AJ22" s="9"/>
      <c r="AK22" s="9"/>
      <c r="AL22" s="9"/>
      <c r="AM22" s="9"/>
      <c r="AN22" s="9"/>
    </row>
    <row r="23" spans="1:40" x14ac:dyDescent="0.25">
      <c r="A23" s="92" t="s">
        <v>89</v>
      </c>
      <c r="B23" s="94" t="s">
        <v>87</v>
      </c>
      <c r="C23" s="94" t="s">
        <v>116</v>
      </c>
      <c r="D23" s="94" t="s">
        <v>88</v>
      </c>
      <c r="E23" s="94" t="s">
        <v>109</v>
      </c>
      <c r="F23" s="94" t="s">
        <v>89</v>
      </c>
      <c r="G23" s="94" t="s">
        <v>117</v>
      </c>
      <c r="H23" s="94" t="s">
        <v>139</v>
      </c>
      <c r="I23" s="94">
        <v>220000</v>
      </c>
      <c r="J23" s="94"/>
      <c r="K23" s="94">
        <v>220000</v>
      </c>
      <c r="L23" s="94"/>
      <c r="M23" s="94"/>
      <c r="N23" s="101"/>
      <c r="O23" s="101"/>
      <c r="P23" s="101"/>
      <c r="Q23" s="101"/>
      <c r="R23" s="101"/>
      <c r="S23" s="31"/>
      <c r="T23" s="101"/>
      <c r="U23" s="101"/>
      <c r="V23" s="101"/>
      <c r="W23" s="101"/>
      <c r="X23" s="66"/>
      <c r="Y23" s="66"/>
      <c r="Z23" s="66"/>
      <c r="AA23" s="66"/>
      <c r="AF23" s="9"/>
      <c r="AG23" s="9"/>
      <c r="AH23" s="9"/>
      <c r="AI23" s="9"/>
      <c r="AJ23" s="9"/>
      <c r="AK23" s="9"/>
      <c r="AL23" s="9"/>
      <c r="AM23" s="9"/>
      <c r="AN23" s="9"/>
    </row>
    <row r="24" spans="1:40" x14ac:dyDescent="0.25">
      <c r="A24" s="93" t="s">
        <v>89</v>
      </c>
      <c r="B24" s="95" t="s">
        <v>105</v>
      </c>
      <c r="C24" s="95" t="s">
        <v>140</v>
      </c>
      <c r="D24" s="95" t="s">
        <v>141</v>
      </c>
      <c r="E24" s="95" t="s">
        <v>109</v>
      </c>
      <c r="F24" s="95"/>
      <c r="G24" s="95"/>
      <c r="H24" s="95" t="s">
        <v>142</v>
      </c>
      <c r="I24" s="95">
        <v>519767</v>
      </c>
      <c r="J24" s="95"/>
      <c r="K24" s="95">
        <v>519767</v>
      </c>
      <c r="L24" s="95"/>
      <c r="M24" s="95"/>
      <c r="N24" s="101"/>
      <c r="O24" s="101"/>
      <c r="P24" s="101"/>
      <c r="Q24" s="101"/>
      <c r="R24" s="101"/>
      <c r="S24" s="31"/>
      <c r="T24" s="101"/>
      <c r="U24" s="101"/>
      <c r="V24" s="101"/>
      <c r="W24" s="101"/>
      <c r="X24" s="66"/>
      <c r="Y24" s="66"/>
      <c r="Z24" s="66"/>
      <c r="AA24" s="66"/>
      <c r="AF24" s="9"/>
      <c r="AG24" s="9"/>
      <c r="AH24" s="9"/>
      <c r="AI24" s="9"/>
      <c r="AJ24" s="9"/>
      <c r="AK24" s="9"/>
      <c r="AL24" s="9"/>
      <c r="AM24" s="9"/>
      <c r="AN24" s="9"/>
    </row>
    <row r="25" spans="1:40" x14ac:dyDescent="0.25">
      <c r="A25" s="25" t="s">
        <v>89</v>
      </c>
      <c r="B25" s="25" t="s">
        <v>105</v>
      </c>
      <c r="C25" s="25" t="s">
        <v>143</v>
      </c>
      <c r="D25" s="25" t="s">
        <v>141</v>
      </c>
      <c r="E25" s="25" t="s">
        <v>109</v>
      </c>
      <c r="F25" s="25" t="s">
        <v>90</v>
      </c>
      <c r="H25" s="25" t="s">
        <v>144</v>
      </c>
      <c r="I25" s="25">
        <v>302770</v>
      </c>
      <c r="N25" s="102"/>
      <c r="O25" s="102"/>
      <c r="P25" s="102">
        <v>302770</v>
      </c>
      <c r="Q25" s="102"/>
      <c r="R25" s="102"/>
      <c r="T25" s="102"/>
      <c r="U25" s="102"/>
      <c r="V25" s="102"/>
      <c r="W25" s="102"/>
      <c r="X25" s="66"/>
      <c r="Y25" s="66"/>
      <c r="Z25" s="66"/>
      <c r="AA25" s="66"/>
      <c r="AF25" s="9"/>
      <c r="AG25" s="9"/>
      <c r="AH25" s="9"/>
      <c r="AI25" s="9"/>
      <c r="AJ25" s="9"/>
      <c r="AK25" s="9"/>
      <c r="AL25" s="9"/>
      <c r="AM25" s="9"/>
      <c r="AN25" s="9"/>
    </row>
    <row r="26" spans="1:40" x14ac:dyDescent="0.25">
      <c r="A26" s="25" t="s">
        <v>93</v>
      </c>
      <c r="B26" s="25" t="s">
        <v>114</v>
      </c>
      <c r="C26" s="25" t="s">
        <v>145</v>
      </c>
      <c r="D26" s="25" t="s">
        <v>107</v>
      </c>
      <c r="E26" s="25" t="s">
        <v>109</v>
      </c>
      <c r="F26" s="25" t="s">
        <v>98</v>
      </c>
      <c r="H26" s="25" t="s">
        <v>146</v>
      </c>
      <c r="I26" s="25">
        <v>170964</v>
      </c>
      <c r="K26" s="25">
        <v>170964</v>
      </c>
      <c r="N26" s="102"/>
      <c r="O26" s="102"/>
      <c r="P26" s="102"/>
      <c r="Q26" s="102"/>
      <c r="R26" s="102"/>
      <c r="T26" s="102"/>
      <c r="U26" s="102"/>
      <c r="V26" s="102"/>
      <c r="W26" s="102"/>
      <c r="X26" s="66"/>
      <c r="Y26" s="66"/>
      <c r="Z26" s="66"/>
      <c r="AA26" s="66"/>
      <c r="AF26" s="9"/>
      <c r="AG26" s="9"/>
      <c r="AH26" s="9"/>
      <c r="AI26" s="9"/>
      <c r="AJ26" s="9"/>
      <c r="AK26" s="9"/>
      <c r="AL26" s="9"/>
      <c r="AM26" s="9"/>
      <c r="AN26" s="9"/>
    </row>
    <row r="27" spans="1:40" x14ac:dyDescent="0.25">
      <c r="A27" s="25" t="s">
        <v>93</v>
      </c>
      <c r="B27" s="25" t="s">
        <v>114</v>
      </c>
      <c r="C27" s="25" t="s">
        <v>147</v>
      </c>
      <c r="D27" s="25" t="s">
        <v>141</v>
      </c>
      <c r="E27" s="25" t="s">
        <v>109</v>
      </c>
      <c r="F27" s="25" t="s">
        <v>98</v>
      </c>
      <c r="H27" s="25" t="s">
        <v>148</v>
      </c>
      <c r="I27" s="25">
        <v>165341</v>
      </c>
      <c r="K27" s="25">
        <v>165341</v>
      </c>
      <c r="N27" s="102"/>
      <c r="O27" s="102"/>
      <c r="P27" s="102"/>
      <c r="Q27" s="102"/>
      <c r="R27" s="102"/>
      <c r="T27" s="102"/>
      <c r="U27" s="102"/>
      <c r="V27" s="102"/>
      <c r="W27" s="102"/>
      <c r="X27" s="66"/>
      <c r="Y27" s="66"/>
      <c r="Z27" s="66"/>
      <c r="AA27" s="66"/>
      <c r="AF27" s="9"/>
      <c r="AG27" s="9"/>
      <c r="AH27" s="9"/>
      <c r="AI27" s="9"/>
      <c r="AJ27" s="9"/>
      <c r="AK27" s="9"/>
      <c r="AL27" s="9"/>
      <c r="AM27" s="9"/>
      <c r="AN27" s="9"/>
    </row>
    <row r="28" spans="1:40" x14ac:dyDescent="0.25">
      <c r="A28" s="25" t="s">
        <v>93</v>
      </c>
      <c r="B28" s="25" t="s">
        <v>86</v>
      </c>
      <c r="C28" s="25" t="s">
        <v>149</v>
      </c>
      <c r="D28" s="25" t="s">
        <v>109</v>
      </c>
      <c r="E28" s="25" t="s">
        <v>88</v>
      </c>
      <c r="F28" s="25" t="s">
        <v>92</v>
      </c>
      <c r="G28" s="25" t="s">
        <v>150</v>
      </c>
      <c r="H28" s="25" t="s">
        <v>118</v>
      </c>
      <c r="I28" s="25">
        <v>-600000</v>
      </c>
      <c r="K28" s="25">
        <v>-600000</v>
      </c>
      <c r="N28" s="102"/>
      <c r="O28" s="102"/>
      <c r="P28" s="102"/>
      <c r="Q28" s="102"/>
      <c r="R28" s="102"/>
      <c r="T28" s="102"/>
      <c r="U28" s="102"/>
      <c r="V28" s="102"/>
      <c r="W28" s="102"/>
      <c r="X28" s="66"/>
      <c r="Y28" s="66"/>
      <c r="Z28" s="66"/>
      <c r="AA28" s="66"/>
      <c r="AF28" s="9"/>
      <c r="AG28" s="9"/>
      <c r="AH28" s="9"/>
      <c r="AI28" s="9"/>
      <c r="AJ28" s="9"/>
      <c r="AK28" s="9"/>
      <c r="AL28" s="9"/>
      <c r="AM28" s="9"/>
      <c r="AN28" s="9"/>
    </row>
    <row r="29" spans="1:40" x14ac:dyDescent="0.25">
      <c r="A29" s="25" t="s">
        <v>93</v>
      </c>
      <c r="B29" s="25" t="s">
        <v>86</v>
      </c>
      <c r="C29" s="25" t="s">
        <v>151</v>
      </c>
      <c r="D29" s="25" t="s">
        <v>109</v>
      </c>
      <c r="E29" s="25" t="s">
        <v>91</v>
      </c>
      <c r="F29" s="25" t="s">
        <v>92</v>
      </c>
      <c r="G29" s="25" t="s">
        <v>152</v>
      </c>
      <c r="H29" s="25" t="s">
        <v>153</v>
      </c>
      <c r="I29" s="25">
        <v>-523560</v>
      </c>
      <c r="N29" s="102"/>
      <c r="O29" s="102"/>
      <c r="P29" s="102">
        <v>-523560</v>
      </c>
      <c r="Q29" s="102"/>
      <c r="R29" s="102"/>
      <c r="T29" s="102"/>
      <c r="U29" s="102"/>
      <c r="V29" s="102"/>
      <c r="W29" s="102"/>
      <c r="X29" s="66"/>
      <c r="Y29" s="66"/>
      <c r="Z29" s="66"/>
      <c r="AA29" s="66"/>
      <c r="AF29" s="9"/>
      <c r="AG29" s="9"/>
      <c r="AH29" s="9"/>
      <c r="AI29" s="9"/>
      <c r="AJ29" s="9"/>
      <c r="AK29" s="9"/>
      <c r="AL29" s="9"/>
      <c r="AM29" s="9"/>
      <c r="AN29" s="9"/>
    </row>
    <row r="30" spans="1:40" x14ac:dyDescent="0.25">
      <c r="A30" s="25" t="s">
        <v>93</v>
      </c>
      <c r="B30" s="25" t="s">
        <v>86</v>
      </c>
      <c r="C30" s="25" t="s">
        <v>154</v>
      </c>
      <c r="D30" s="25" t="s">
        <v>109</v>
      </c>
      <c r="E30" s="25" t="s">
        <v>88</v>
      </c>
      <c r="F30" s="25" t="s">
        <v>92</v>
      </c>
      <c r="G30" s="25" t="s">
        <v>155</v>
      </c>
      <c r="H30" s="25" t="s">
        <v>156</v>
      </c>
      <c r="I30" s="25">
        <v>-35247.72</v>
      </c>
      <c r="K30" s="25">
        <v>-35247.72</v>
      </c>
      <c r="N30" s="102"/>
      <c r="O30" s="102"/>
      <c r="P30" s="102"/>
      <c r="Q30" s="102"/>
      <c r="R30" s="102"/>
      <c r="T30" s="102"/>
      <c r="U30" s="102"/>
      <c r="V30" s="102"/>
      <c r="W30" s="102"/>
      <c r="X30" s="66"/>
      <c r="Y30" s="66"/>
      <c r="Z30" s="66"/>
      <c r="AA30" s="66"/>
      <c r="AF30" s="9"/>
      <c r="AG30" s="9"/>
      <c r="AH30" s="9"/>
      <c r="AI30" s="9"/>
      <c r="AJ30" s="9"/>
      <c r="AK30" s="9"/>
      <c r="AL30" s="9"/>
      <c r="AM30" s="9"/>
      <c r="AN30" s="9"/>
    </row>
    <row r="31" spans="1:40" x14ac:dyDescent="0.25">
      <c r="A31" s="25" t="s">
        <v>93</v>
      </c>
      <c r="B31" s="25" t="s">
        <v>87</v>
      </c>
      <c r="C31" s="25" t="s">
        <v>127</v>
      </c>
      <c r="D31" s="25" t="s">
        <v>88</v>
      </c>
      <c r="E31" s="25" t="s">
        <v>109</v>
      </c>
      <c r="F31" s="25" t="s">
        <v>93</v>
      </c>
      <c r="H31" s="25" t="s">
        <v>128</v>
      </c>
      <c r="I31" s="25">
        <v>1515000</v>
      </c>
      <c r="N31" s="102"/>
      <c r="O31" s="102"/>
      <c r="P31" s="102">
        <v>1515000</v>
      </c>
      <c r="Q31" s="102"/>
      <c r="R31" s="102"/>
      <c r="T31" s="102"/>
      <c r="U31" s="102"/>
      <c r="V31" s="102"/>
      <c r="W31" s="102"/>
      <c r="X31" s="66"/>
      <c r="Y31" s="66"/>
      <c r="Z31" s="66"/>
      <c r="AA31" s="66"/>
      <c r="AF31" s="9"/>
      <c r="AG31" s="9"/>
      <c r="AH31" s="9"/>
      <c r="AI31" s="9"/>
      <c r="AJ31" s="9"/>
      <c r="AK31" s="9"/>
      <c r="AL31" s="9"/>
      <c r="AM31" s="9"/>
      <c r="AN31" s="9"/>
    </row>
    <row r="32" spans="1:40" x14ac:dyDescent="0.25">
      <c r="A32" s="25" t="s">
        <v>93</v>
      </c>
      <c r="B32" s="25" t="s">
        <v>157</v>
      </c>
      <c r="C32" s="25" t="s">
        <v>112</v>
      </c>
      <c r="D32" s="25" t="s">
        <v>109</v>
      </c>
      <c r="E32" s="25" t="s">
        <v>110</v>
      </c>
      <c r="H32" s="25" t="s">
        <v>158</v>
      </c>
      <c r="I32" s="25">
        <v>-1515000</v>
      </c>
      <c r="N32" s="102"/>
      <c r="O32" s="102"/>
      <c r="P32" s="102">
        <v>-1515000</v>
      </c>
      <c r="Q32" s="102"/>
      <c r="R32" s="102"/>
      <c r="T32" s="102"/>
      <c r="U32" s="102"/>
      <c r="V32" s="102"/>
      <c r="W32" s="102"/>
      <c r="X32" s="66"/>
      <c r="Y32" s="66"/>
      <c r="Z32" s="66"/>
      <c r="AA32" s="66"/>
      <c r="AF32" s="9"/>
      <c r="AG32" s="9"/>
      <c r="AH32" s="9"/>
      <c r="AI32" s="9"/>
      <c r="AJ32" s="9"/>
      <c r="AK32" s="9"/>
      <c r="AL32" s="9"/>
      <c r="AM32" s="9"/>
      <c r="AN32" s="9"/>
    </row>
    <row r="33" spans="1:40" x14ac:dyDescent="0.25">
      <c r="A33" s="25" t="s">
        <v>93</v>
      </c>
      <c r="B33" s="25" t="s">
        <v>157</v>
      </c>
      <c r="C33" s="25" t="s">
        <v>125</v>
      </c>
      <c r="D33" s="25" t="s">
        <v>109</v>
      </c>
      <c r="E33" s="25" t="s">
        <v>91</v>
      </c>
      <c r="F33" s="25" t="s">
        <v>93</v>
      </c>
      <c r="H33" s="25" t="s">
        <v>126</v>
      </c>
      <c r="I33" s="25">
        <v>-212090</v>
      </c>
      <c r="N33" s="102"/>
      <c r="O33" s="102"/>
      <c r="P33" s="102">
        <v>-212090</v>
      </c>
      <c r="Q33" s="102"/>
      <c r="R33" s="102"/>
      <c r="T33" s="102"/>
      <c r="U33" s="102"/>
      <c r="V33" s="102"/>
      <c r="W33" s="102"/>
      <c r="X33" s="66"/>
      <c r="Y33" s="66"/>
      <c r="Z33" s="66"/>
      <c r="AA33" s="66"/>
      <c r="AF33" s="9"/>
      <c r="AG33" s="9"/>
      <c r="AH33" s="9"/>
      <c r="AI33" s="9"/>
      <c r="AJ33" s="9"/>
      <c r="AK33" s="9"/>
      <c r="AL33" s="9"/>
      <c r="AM33" s="9"/>
      <c r="AN33" s="9"/>
    </row>
    <row r="34" spans="1:40" x14ac:dyDescent="0.25">
      <c r="A34" s="25" t="s">
        <v>93</v>
      </c>
      <c r="B34" s="25" t="s">
        <v>105</v>
      </c>
      <c r="C34" s="25" t="s">
        <v>143</v>
      </c>
      <c r="D34" s="25" t="s">
        <v>141</v>
      </c>
      <c r="E34" s="25" t="s">
        <v>109</v>
      </c>
      <c r="F34" s="25" t="s">
        <v>90</v>
      </c>
      <c r="H34" s="25" t="s">
        <v>159</v>
      </c>
      <c r="I34" s="25">
        <v>302770</v>
      </c>
      <c r="N34" s="102"/>
      <c r="O34" s="102"/>
      <c r="P34" s="102">
        <v>302770</v>
      </c>
      <c r="Q34" s="102"/>
      <c r="R34" s="102"/>
      <c r="T34" s="102"/>
      <c r="U34" s="102"/>
      <c r="V34" s="102"/>
      <c r="W34" s="102"/>
      <c r="X34" s="66"/>
      <c r="Y34" s="66"/>
      <c r="Z34" s="66"/>
      <c r="AA34" s="66"/>
      <c r="AF34" s="9"/>
      <c r="AG34" s="9"/>
      <c r="AH34" s="9"/>
      <c r="AI34" s="9"/>
      <c r="AJ34" s="9"/>
      <c r="AK34" s="9"/>
      <c r="AL34" s="9"/>
      <c r="AM34" s="9"/>
      <c r="AN34" s="9"/>
    </row>
    <row r="35" spans="1:40" x14ac:dyDescent="0.25">
      <c r="A35" s="25" t="s">
        <v>92</v>
      </c>
      <c r="B35" s="25" t="s">
        <v>114</v>
      </c>
      <c r="C35" s="25" t="s">
        <v>160</v>
      </c>
      <c r="D35" s="25" t="s">
        <v>88</v>
      </c>
      <c r="E35" s="25" t="s">
        <v>109</v>
      </c>
      <c r="F35" s="25" t="s">
        <v>161</v>
      </c>
      <c r="G35" s="25" t="s">
        <v>155</v>
      </c>
      <c r="H35" s="25" t="s">
        <v>162</v>
      </c>
      <c r="I35" s="25">
        <v>364793</v>
      </c>
      <c r="K35" s="25">
        <v>364793</v>
      </c>
      <c r="N35" s="102"/>
      <c r="O35" s="102"/>
      <c r="P35" s="102"/>
      <c r="Q35" s="102"/>
      <c r="R35" s="102"/>
      <c r="T35" s="102"/>
      <c r="U35" s="102"/>
      <c r="V35" s="102"/>
      <c r="W35" s="102"/>
      <c r="X35" s="66"/>
      <c r="Y35" s="66"/>
      <c r="Z35" s="66"/>
      <c r="AA35" s="66"/>
      <c r="AF35" s="9"/>
      <c r="AG35" s="9"/>
      <c r="AH35" s="9"/>
      <c r="AI35" s="9"/>
      <c r="AJ35" s="9"/>
      <c r="AK35" s="9"/>
      <c r="AL35" s="9"/>
      <c r="AM35" s="9"/>
      <c r="AN35" s="9"/>
    </row>
    <row r="36" spans="1:40" x14ac:dyDescent="0.25">
      <c r="A36" s="25" t="s">
        <v>92</v>
      </c>
      <c r="B36" s="25" t="s">
        <v>114</v>
      </c>
      <c r="C36" s="25" t="s">
        <v>163</v>
      </c>
      <c r="D36" s="25" t="s">
        <v>88</v>
      </c>
      <c r="E36" s="25" t="s">
        <v>109</v>
      </c>
      <c r="F36" s="25" t="s">
        <v>97</v>
      </c>
      <c r="G36" s="25" t="s">
        <v>164</v>
      </c>
      <c r="H36" s="25" t="s">
        <v>165</v>
      </c>
      <c r="I36" s="25">
        <v>340419</v>
      </c>
      <c r="N36" s="102"/>
      <c r="O36" s="102"/>
      <c r="P36" s="102">
        <v>340419</v>
      </c>
      <c r="Q36" s="102"/>
      <c r="R36" s="102"/>
      <c r="T36" s="102"/>
      <c r="U36" s="102"/>
      <c r="V36" s="102"/>
      <c r="W36" s="102"/>
      <c r="X36" s="66"/>
      <c r="Y36" s="66"/>
      <c r="Z36" s="66"/>
      <c r="AA36" s="66"/>
      <c r="AF36" s="9"/>
      <c r="AG36" s="9"/>
      <c r="AH36" s="9"/>
      <c r="AI36" s="9"/>
      <c r="AJ36" s="9"/>
      <c r="AK36" s="9"/>
      <c r="AL36" s="9"/>
      <c r="AM36" s="9"/>
      <c r="AN36" s="9"/>
    </row>
    <row r="37" spans="1:40" x14ac:dyDescent="0.25">
      <c r="A37" s="99" t="s">
        <v>92</v>
      </c>
      <c r="B37" s="99" t="s">
        <v>86</v>
      </c>
      <c r="C37" s="99" t="s">
        <v>166</v>
      </c>
      <c r="D37" s="99" t="s">
        <v>109</v>
      </c>
      <c r="E37" s="99" t="s">
        <v>88</v>
      </c>
      <c r="F37" s="99" t="s">
        <v>90</v>
      </c>
      <c r="G37" s="99"/>
      <c r="H37" s="99" t="s">
        <v>167</v>
      </c>
      <c r="I37" s="99">
        <v>-344098.48</v>
      </c>
      <c r="J37" s="99"/>
      <c r="K37" s="99">
        <v>-42536.67</v>
      </c>
      <c r="L37" s="99"/>
      <c r="M37" s="99"/>
      <c r="N37" s="102"/>
      <c r="O37" s="102"/>
      <c r="P37" s="102">
        <v>-301561.81</v>
      </c>
      <c r="Q37" s="102"/>
      <c r="R37" s="102"/>
      <c r="T37" s="102"/>
      <c r="U37" s="102"/>
      <c r="V37" s="102"/>
      <c r="W37" s="102"/>
      <c r="X37" s="66"/>
      <c r="Y37" s="66"/>
      <c r="Z37" s="66"/>
      <c r="AA37" s="66"/>
      <c r="AF37" s="9"/>
      <c r="AG37" s="9"/>
      <c r="AH37" s="9"/>
      <c r="AI37" s="9"/>
      <c r="AJ37" s="9"/>
      <c r="AK37" s="9"/>
      <c r="AL37" s="9"/>
      <c r="AM37" s="9"/>
      <c r="AN37" s="9"/>
    </row>
    <row r="38" spans="1:40" x14ac:dyDescent="0.25">
      <c r="A38" s="99" t="s">
        <v>92</v>
      </c>
      <c r="B38" s="99" t="s">
        <v>87</v>
      </c>
      <c r="C38" s="99" t="s">
        <v>149</v>
      </c>
      <c r="D38" s="99" t="s">
        <v>88</v>
      </c>
      <c r="E38" s="99" t="s">
        <v>109</v>
      </c>
      <c r="F38" s="99" t="s">
        <v>92</v>
      </c>
      <c r="G38" s="99" t="s">
        <v>150</v>
      </c>
      <c r="H38" s="99" t="s">
        <v>168</v>
      </c>
      <c r="I38" s="99">
        <v>600000</v>
      </c>
      <c r="J38" s="99"/>
      <c r="K38" s="99">
        <v>600000</v>
      </c>
      <c r="L38" s="99"/>
      <c r="M38" s="99"/>
      <c r="N38" s="102"/>
      <c r="O38" s="102"/>
      <c r="P38" s="102"/>
      <c r="Q38" s="102"/>
      <c r="R38" s="102"/>
      <c r="T38" s="102"/>
      <c r="U38" s="102"/>
      <c r="V38" s="102"/>
      <c r="W38" s="102"/>
      <c r="X38" s="66"/>
      <c r="Y38" s="66"/>
      <c r="Z38" s="66"/>
      <c r="AA38" s="66"/>
      <c r="AF38" s="9"/>
      <c r="AG38" s="9"/>
      <c r="AH38" s="9"/>
      <c r="AI38" s="9"/>
      <c r="AJ38" s="9"/>
      <c r="AK38" s="9"/>
      <c r="AL38" s="9"/>
      <c r="AM38" s="9"/>
      <c r="AN38" s="9"/>
    </row>
    <row r="39" spans="1:40" x14ac:dyDescent="0.25">
      <c r="A39" s="99" t="s">
        <v>92</v>
      </c>
      <c r="B39" s="99" t="s">
        <v>87</v>
      </c>
      <c r="C39" s="99" t="s">
        <v>151</v>
      </c>
      <c r="D39" s="99" t="s">
        <v>91</v>
      </c>
      <c r="E39" s="99" t="s">
        <v>109</v>
      </c>
      <c r="F39" s="99" t="s">
        <v>92</v>
      </c>
      <c r="G39" s="99" t="s">
        <v>152</v>
      </c>
      <c r="H39" s="99" t="s">
        <v>153</v>
      </c>
      <c r="I39" s="99">
        <v>523560</v>
      </c>
      <c r="J39" s="99"/>
      <c r="K39" s="99"/>
      <c r="L39" s="99"/>
      <c r="M39" s="99"/>
      <c r="N39" s="102"/>
      <c r="O39" s="102"/>
      <c r="P39" s="102">
        <v>523560</v>
      </c>
      <c r="Q39" s="102"/>
      <c r="R39" s="102"/>
      <c r="T39" s="102"/>
      <c r="U39" s="102"/>
      <c r="V39" s="102"/>
      <c r="W39" s="102"/>
      <c r="X39" s="66"/>
      <c r="Y39" s="66"/>
      <c r="Z39" s="66"/>
      <c r="AA39" s="66"/>
      <c r="AF39" s="9"/>
      <c r="AG39" s="9"/>
      <c r="AH39" s="9"/>
      <c r="AI39" s="9"/>
      <c r="AJ39" s="9"/>
      <c r="AK39" s="9"/>
      <c r="AL39" s="9"/>
      <c r="AM39" s="9"/>
      <c r="AN39" s="9"/>
    </row>
    <row r="40" spans="1:40" x14ac:dyDescent="0.25">
      <c r="A40" s="99" t="s">
        <v>92</v>
      </c>
      <c r="B40" s="99" t="s">
        <v>87</v>
      </c>
      <c r="C40" s="99" t="s">
        <v>129</v>
      </c>
      <c r="D40" s="99" t="s">
        <v>88</v>
      </c>
      <c r="E40" s="99" t="s">
        <v>109</v>
      </c>
      <c r="F40" s="99"/>
      <c r="G40" s="99" t="s">
        <v>130</v>
      </c>
      <c r="H40" s="99" t="s">
        <v>169</v>
      </c>
      <c r="I40" s="99">
        <v>580186</v>
      </c>
      <c r="J40" s="99"/>
      <c r="K40" s="99"/>
      <c r="L40" s="99"/>
      <c r="M40" s="99"/>
      <c r="N40" s="102"/>
      <c r="O40" s="102"/>
      <c r="P40" s="102">
        <v>580186</v>
      </c>
      <c r="Q40" s="102"/>
      <c r="R40" s="102"/>
      <c r="T40" s="102"/>
      <c r="U40" s="102"/>
      <c r="V40" s="102"/>
      <c r="W40" s="102"/>
      <c r="X40" s="66"/>
      <c r="Y40" s="66"/>
      <c r="Z40" s="66"/>
      <c r="AA40" s="66"/>
      <c r="AF40" s="9"/>
      <c r="AG40" s="9"/>
      <c r="AH40" s="9"/>
      <c r="AI40" s="9"/>
      <c r="AJ40" s="9"/>
      <c r="AK40" s="9"/>
      <c r="AL40" s="9"/>
      <c r="AM40" s="9"/>
      <c r="AN40" s="9"/>
    </row>
    <row r="41" spans="1:40" x14ac:dyDescent="0.25">
      <c r="A41" s="99" t="s">
        <v>92</v>
      </c>
      <c r="B41" s="99" t="s">
        <v>87</v>
      </c>
      <c r="C41" s="99" t="s">
        <v>132</v>
      </c>
      <c r="D41" s="99" t="s">
        <v>108</v>
      </c>
      <c r="E41" s="99" t="s">
        <v>109</v>
      </c>
      <c r="F41" s="99"/>
      <c r="G41" s="99" t="s">
        <v>133</v>
      </c>
      <c r="H41" s="99" t="s">
        <v>170</v>
      </c>
      <c r="I41" s="99">
        <v>127122</v>
      </c>
      <c r="J41" s="99"/>
      <c r="K41" s="99">
        <v>127122</v>
      </c>
      <c r="L41" s="99"/>
      <c r="M41" s="99"/>
      <c r="N41" s="102"/>
      <c r="O41" s="102"/>
      <c r="P41" s="102"/>
      <c r="Q41" s="102"/>
      <c r="R41" s="102"/>
      <c r="T41" s="102"/>
      <c r="U41" s="102"/>
      <c r="V41" s="102"/>
      <c r="W41" s="102"/>
      <c r="X41" s="66"/>
      <c r="Y41" s="66"/>
      <c r="Z41" s="66"/>
      <c r="AA41" s="66"/>
      <c r="AF41" s="9"/>
      <c r="AG41" s="9"/>
      <c r="AH41" s="9"/>
      <c r="AI41" s="9"/>
      <c r="AJ41" s="9"/>
      <c r="AK41" s="9"/>
      <c r="AL41" s="9"/>
      <c r="AM41" s="9"/>
      <c r="AN41" s="9"/>
    </row>
    <row r="42" spans="1:40" x14ac:dyDescent="0.25">
      <c r="A42" s="99" t="s">
        <v>92</v>
      </c>
      <c r="B42" s="99" t="s">
        <v>87</v>
      </c>
      <c r="C42" s="99" t="s">
        <v>135</v>
      </c>
      <c r="D42" s="99" t="s">
        <v>88</v>
      </c>
      <c r="E42" s="99" t="s">
        <v>109</v>
      </c>
      <c r="F42" s="99"/>
      <c r="G42" s="99" t="s">
        <v>136</v>
      </c>
      <c r="H42" s="99" t="s">
        <v>137</v>
      </c>
      <c r="I42" s="99">
        <v>31179</v>
      </c>
      <c r="J42" s="99"/>
      <c r="K42" s="99"/>
      <c r="L42" s="99"/>
      <c r="M42" s="99"/>
      <c r="N42" s="102"/>
      <c r="O42" s="102"/>
      <c r="P42" s="102">
        <v>31179</v>
      </c>
      <c r="Q42" s="102"/>
      <c r="R42" s="102"/>
      <c r="T42" s="102"/>
      <c r="U42" s="102"/>
      <c r="V42" s="102"/>
      <c r="W42" s="102"/>
      <c r="X42" s="66"/>
      <c r="Y42" s="66"/>
      <c r="Z42" s="66"/>
      <c r="AA42" s="66"/>
      <c r="AF42" s="9"/>
      <c r="AG42" s="9"/>
      <c r="AH42" s="9"/>
      <c r="AI42" s="9"/>
      <c r="AJ42" s="9"/>
      <c r="AK42" s="9"/>
      <c r="AL42" s="9"/>
      <c r="AM42" s="9"/>
      <c r="AN42" s="9"/>
    </row>
    <row r="43" spans="1:40" x14ac:dyDescent="0.25">
      <c r="A43" s="99" t="s">
        <v>92</v>
      </c>
      <c r="B43" s="99" t="s">
        <v>87</v>
      </c>
      <c r="C43" s="99" t="s">
        <v>154</v>
      </c>
      <c r="D43" s="99" t="s">
        <v>88</v>
      </c>
      <c r="E43" s="99" t="s">
        <v>109</v>
      </c>
      <c r="F43" s="99" t="s">
        <v>92</v>
      </c>
      <c r="G43" s="99" t="s">
        <v>155</v>
      </c>
      <c r="H43" s="99" t="s">
        <v>156</v>
      </c>
      <c r="I43" s="99">
        <v>35247.72</v>
      </c>
      <c r="J43" s="99"/>
      <c r="K43" s="99">
        <v>35247.72</v>
      </c>
      <c r="L43" s="99"/>
      <c r="M43" s="99"/>
      <c r="N43" s="102"/>
      <c r="O43" s="102"/>
      <c r="P43" s="102"/>
      <c r="Q43" s="102"/>
      <c r="R43" s="102"/>
      <c r="T43" s="102"/>
      <c r="U43" s="102"/>
      <c r="V43" s="102"/>
      <c r="W43" s="102"/>
      <c r="X43" s="66"/>
      <c r="Y43" s="66"/>
      <c r="Z43" s="66"/>
      <c r="AA43" s="66"/>
      <c r="AF43" s="9"/>
      <c r="AG43" s="9"/>
      <c r="AH43" s="9"/>
      <c r="AI43" s="9"/>
      <c r="AJ43" s="9"/>
      <c r="AK43" s="9"/>
      <c r="AL43" s="9"/>
      <c r="AM43" s="9"/>
      <c r="AN43" s="9"/>
    </row>
    <row r="44" spans="1:40" x14ac:dyDescent="0.25">
      <c r="A44" s="99" t="s">
        <v>92</v>
      </c>
      <c r="B44" s="99" t="s">
        <v>105</v>
      </c>
      <c r="C44" s="99" t="s">
        <v>143</v>
      </c>
      <c r="D44" s="99" t="s">
        <v>141</v>
      </c>
      <c r="E44" s="99" t="s">
        <v>109</v>
      </c>
      <c r="F44" s="99" t="s">
        <v>90</v>
      </c>
      <c r="G44" s="99"/>
      <c r="H44" s="99" t="s">
        <v>171</v>
      </c>
      <c r="I44" s="99">
        <v>302770</v>
      </c>
      <c r="J44" s="99"/>
      <c r="K44" s="99"/>
      <c r="L44" s="99"/>
      <c r="M44" s="99"/>
      <c r="N44" s="102"/>
      <c r="O44" s="102"/>
      <c r="P44" s="102">
        <v>302770</v>
      </c>
      <c r="Q44" s="102"/>
      <c r="R44" s="102"/>
      <c r="T44" s="102"/>
      <c r="U44" s="102"/>
      <c r="V44" s="102"/>
      <c r="W44" s="102"/>
      <c r="X44" s="66"/>
      <c r="Y44" s="66"/>
      <c r="Z44" s="66"/>
      <c r="AA44" s="66"/>
      <c r="AF44" s="9"/>
      <c r="AG44" s="9"/>
      <c r="AH44" s="9"/>
      <c r="AI44" s="9"/>
      <c r="AJ44" s="9"/>
      <c r="AK44" s="9"/>
      <c r="AL44" s="9"/>
      <c r="AM44" s="9"/>
      <c r="AN44" s="9"/>
    </row>
    <row r="45" spans="1:40" x14ac:dyDescent="0.25">
      <c r="A45" s="99" t="s">
        <v>97</v>
      </c>
      <c r="B45" s="99" t="s">
        <v>86</v>
      </c>
      <c r="C45" s="99" t="s">
        <v>172</v>
      </c>
      <c r="D45" s="99" t="s">
        <v>109</v>
      </c>
      <c r="E45" s="99" t="s">
        <v>88</v>
      </c>
      <c r="F45" s="99" t="s">
        <v>98</v>
      </c>
      <c r="G45" s="99" t="s">
        <v>173</v>
      </c>
      <c r="H45" s="99" t="s">
        <v>174</v>
      </c>
      <c r="I45" s="99">
        <v>-252000</v>
      </c>
      <c r="J45" s="99"/>
      <c r="K45" s="99"/>
      <c r="L45" s="99"/>
      <c r="M45" s="99"/>
      <c r="N45" s="102"/>
      <c r="O45" s="102"/>
      <c r="P45" s="102">
        <v>-252000</v>
      </c>
      <c r="Q45" s="102"/>
      <c r="R45" s="102"/>
      <c r="T45" s="102"/>
      <c r="U45" s="102"/>
      <c r="V45" s="102"/>
      <c r="W45" s="102"/>
      <c r="X45" s="66"/>
      <c r="Y45" s="66"/>
      <c r="Z45" s="66"/>
      <c r="AA45" s="66"/>
      <c r="AF45" s="9"/>
      <c r="AG45" s="9"/>
      <c r="AH45" s="9"/>
      <c r="AI45" s="9"/>
      <c r="AJ45" s="9"/>
      <c r="AK45" s="9"/>
      <c r="AL45" s="9"/>
      <c r="AM45" s="9"/>
      <c r="AN45" s="9"/>
    </row>
    <row r="46" spans="1:40" x14ac:dyDescent="0.25">
      <c r="A46" s="99" t="s">
        <v>97</v>
      </c>
      <c r="B46" s="99" t="s">
        <v>86</v>
      </c>
      <c r="C46" s="99" t="s">
        <v>172</v>
      </c>
      <c r="D46" s="99" t="s">
        <v>109</v>
      </c>
      <c r="E46" s="99" t="s">
        <v>88</v>
      </c>
      <c r="F46" s="99" t="s">
        <v>98</v>
      </c>
      <c r="G46" s="99" t="s">
        <v>175</v>
      </c>
      <c r="H46" s="99" t="s">
        <v>156</v>
      </c>
      <c r="I46" s="99">
        <v>-150000</v>
      </c>
      <c r="J46" s="99"/>
      <c r="K46" s="99">
        <v>-150000</v>
      </c>
      <c r="L46" s="99"/>
      <c r="M46" s="99"/>
      <c r="N46" s="102"/>
      <c r="O46" s="102"/>
      <c r="P46" s="102"/>
      <c r="Q46" s="102"/>
      <c r="R46" s="102"/>
      <c r="T46" s="102"/>
      <c r="U46" s="102"/>
      <c r="V46" s="102"/>
      <c r="W46" s="102"/>
      <c r="X46" s="66"/>
      <c r="Y46" s="66"/>
      <c r="Z46" s="66"/>
      <c r="AA46" s="66"/>
      <c r="AF46" s="9"/>
      <c r="AG46" s="9"/>
      <c r="AH46" s="9"/>
      <c r="AI46" s="9"/>
      <c r="AJ46" s="9"/>
      <c r="AK46" s="9"/>
      <c r="AL46" s="9"/>
      <c r="AM46" s="9"/>
      <c r="AN46" s="9"/>
    </row>
    <row r="47" spans="1:40" x14ac:dyDescent="0.25">
      <c r="A47" s="99" t="s">
        <v>97</v>
      </c>
      <c r="B47" s="99" t="s">
        <v>86</v>
      </c>
      <c r="C47" s="99" t="s">
        <v>172</v>
      </c>
      <c r="D47" s="99" t="s">
        <v>109</v>
      </c>
      <c r="E47" s="99" t="s">
        <v>88</v>
      </c>
      <c r="F47" s="99" t="s">
        <v>98</v>
      </c>
      <c r="G47" s="99" t="s">
        <v>176</v>
      </c>
      <c r="H47" s="99" t="s">
        <v>156</v>
      </c>
      <c r="I47" s="99">
        <v>-165000</v>
      </c>
      <c r="J47" s="99"/>
      <c r="K47" s="99">
        <v>-165000</v>
      </c>
      <c r="L47" s="99"/>
      <c r="M47" s="99"/>
      <c r="N47" s="102"/>
      <c r="O47" s="102"/>
      <c r="P47" s="102"/>
      <c r="Q47" s="102"/>
      <c r="R47" s="102"/>
      <c r="T47" s="102"/>
      <c r="U47" s="102"/>
      <c r="V47" s="102"/>
      <c r="W47" s="102"/>
      <c r="X47" s="66"/>
      <c r="Y47" s="66"/>
      <c r="Z47" s="66"/>
      <c r="AA47" s="66"/>
      <c r="AF47" s="9"/>
      <c r="AG47" s="9"/>
      <c r="AH47" s="9"/>
      <c r="AI47" s="9"/>
      <c r="AJ47" s="9"/>
      <c r="AK47" s="9"/>
      <c r="AL47" s="9"/>
      <c r="AM47" s="9"/>
      <c r="AN47" s="9"/>
    </row>
    <row r="48" spans="1:40" x14ac:dyDescent="0.25">
      <c r="A48" s="99" t="s">
        <v>97</v>
      </c>
      <c r="B48" s="99" t="s">
        <v>86</v>
      </c>
      <c r="C48" s="99" t="s">
        <v>172</v>
      </c>
      <c r="D48" s="99" t="s">
        <v>109</v>
      </c>
      <c r="E48" s="99" t="s">
        <v>88</v>
      </c>
      <c r="F48" s="99" t="s">
        <v>90</v>
      </c>
      <c r="G48" s="99" t="s">
        <v>173</v>
      </c>
      <c r="H48" s="99" t="s">
        <v>174</v>
      </c>
      <c r="I48" s="99">
        <v>-295160</v>
      </c>
      <c r="J48" s="99"/>
      <c r="K48" s="99"/>
      <c r="L48" s="99"/>
      <c r="M48" s="99"/>
      <c r="N48" s="102"/>
      <c r="O48" s="102"/>
      <c r="P48" s="102">
        <v>-295160</v>
      </c>
      <c r="Q48" s="102"/>
      <c r="R48" s="102"/>
      <c r="T48" s="102"/>
      <c r="U48" s="102"/>
      <c r="V48" s="102"/>
      <c r="W48" s="102"/>
      <c r="X48" s="66"/>
      <c r="Y48" s="66"/>
      <c r="Z48" s="66"/>
      <c r="AA48" s="66"/>
      <c r="AF48" s="9"/>
      <c r="AG48" s="9"/>
      <c r="AH48" s="9"/>
      <c r="AI48" s="9"/>
      <c r="AJ48" s="9"/>
      <c r="AK48" s="9"/>
      <c r="AL48" s="9"/>
      <c r="AM48" s="9"/>
      <c r="AN48" s="9"/>
    </row>
    <row r="49" spans="1:40" x14ac:dyDescent="0.25">
      <c r="A49" s="99" t="s">
        <v>97</v>
      </c>
      <c r="B49" s="99" t="s">
        <v>157</v>
      </c>
      <c r="C49" s="99" t="s">
        <v>160</v>
      </c>
      <c r="D49" s="99" t="s">
        <v>109</v>
      </c>
      <c r="E49" s="99" t="s">
        <v>88</v>
      </c>
      <c r="F49" s="99" t="s">
        <v>161</v>
      </c>
      <c r="G49" s="99" t="s">
        <v>155</v>
      </c>
      <c r="H49" s="99" t="s">
        <v>162</v>
      </c>
      <c r="I49" s="99">
        <v>-198252</v>
      </c>
      <c r="J49" s="99"/>
      <c r="K49" s="99"/>
      <c r="L49" s="99"/>
      <c r="M49" s="99"/>
      <c r="N49" s="102"/>
      <c r="O49" s="102"/>
      <c r="P49" s="102">
        <v>-198252</v>
      </c>
      <c r="Q49" s="102"/>
      <c r="R49" s="102"/>
      <c r="T49" s="102"/>
      <c r="U49" s="102"/>
      <c r="V49" s="102"/>
      <c r="W49" s="102"/>
      <c r="X49" s="66"/>
      <c r="Y49" s="66"/>
      <c r="Z49" s="66"/>
      <c r="AA49" s="66"/>
      <c r="AF49" s="9"/>
      <c r="AG49" s="9"/>
      <c r="AH49" s="9"/>
      <c r="AI49" s="9"/>
      <c r="AJ49" s="9"/>
      <c r="AK49" s="9"/>
      <c r="AL49" s="9"/>
      <c r="AM49" s="9"/>
      <c r="AN49" s="9"/>
    </row>
    <row r="50" spans="1:40" x14ac:dyDescent="0.25">
      <c r="A50" s="99" t="s">
        <v>97</v>
      </c>
      <c r="B50" s="99" t="s">
        <v>157</v>
      </c>
      <c r="C50" s="99" t="s">
        <v>163</v>
      </c>
      <c r="D50" s="99" t="s">
        <v>109</v>
      </c>
      <c r="E50" s="99" t="s">
        <v>88</v>
      </c>
      <c r="F50" s="99" t="s">
        <v>97</v>
      </c>
      <c r="G50" s="99" t="s">
        <v>164</v>
      </c>
      <c r="H50" s="99" t="s">
        <v>165</v>
      </c>
      <c r="I50" s="99">
        <v>-340419</v>
      </c>
      <c r="J50" s="99"/>
      <c r="K50" s="99"/>
      <c r="L50" s="99"/>
      <c r="M50" s="99"/>
      <c r="N50" s="102"/>
      <c r="O50" s="102"/>
      <c r="P50" s="102">
        <v>-340419</v>
      </c>
      <c r="Q50" s="102"/>
      <c r="R50" s="102"/>
      <c r="T50" s="102"/>
      <c r="U50" s="102"/>
      <c r="V50" s="102"/>
      <c r="W50" s="102"/>
      <c r="X50" s="66"/>
      <c r="Y50" s="66"/>
      <c r="Z50" s="66"/>
      <c r="AA50" s="66"/>
      <c r="AF50" s="9"/>
      <c r="AG50" s="9"/>
      <c r="AH50" s="9"/>
      <c r="AI50" s="9"/>
      <c r="AJ50" s="9"/>
      <c r="AK50" s="9"/>
      <c r="AL50" s="9"/>
      <c r="AM50" s="9"/>
      <c r="AN50" s="9"/>
    </row>
    <row r="51" spans="1:40" x14ac:dyDescent="0.25">
      <c r="A51" s="99" t="s">
        <v>97</v>
      </c>
      <c r="B51" s="99" t="s">
        <v>105</v>
      </c>
      <c r="C51" s="99" t="s">
        <v>143</v>
      </c>
      <c r="D51" s="99" t="s">
        <v>141</v>
      </c>
      <c r="E51" s="99" t="s">
        <v>109</v>
      </c>
      <c r="F51" s="99" t="s">
        <v>90</v>
      </c>
      <c r="G51" s="99"/>
      <c r="H51" s="99" t="s">
        <v>177</v>
      </c>
      <c r="I51" s="99">
        <v>302770</v>
      </c>
      <c r="J51" s="99"/>
      <c r="K51" s="99"/>
      <c r="L51" s="99"/>
      <c r="M51" s="99"/>
      <c r="N51" s="102"/>
      <c r="O51" s="102"/>
      <c r="P51" s="102">
        <v>302770</v>
      </c>
      <c r="Q51" s="102"/>
      <c r="R51" s="102"/>
      <c r="T51" s="102"/>
      <c r="U51" s="102"/>
      <c r="V51" s="102"/>
      <c r="W51" s="102"/>
      <c r="X51" s="66"/>
      <c r="Y51" s="66"/>
      <c r="Z51" s="66"/>
      <c r="AA51" s="66"/>
      <c r="AF51" s="9"/>
      <c r="AG51" s="9"/>
      <c r="AH51" s="9"/>
      <c r="AI51" s="9"/>
      <c r="AJ51" s="9"/>
      <c r="AK51" s="9"/>
      <c r="AL51" s="9"/>
      <c r="AM51" s="9"/>
      <c r="AN51" s="9"/>
    </row>
    <row r="52" spans="1:40" x14ac:dyDescent="0.25">
      <c r="A52" s="25" t="s">
        <v>98</v>
      </c>
      <c r="B52" s="25" t="s">
        <v>86</v>
      </c>
      <c r="C52" s="25" t="s">
        <v>191</v>
      </c>
      <c r="D52" s="25" t="s">
        <v>109</v>
      </c>
      <c r="E52" s="25" t="s">
        <v>88</v>
      </c>
      <c r="F52" s="25" t="s">
        <v>90</v>
      </c>
      <c r="G52" s="25" t="s">
        <v>192</v>
      </c>
      <c r="H52" s="25" t="s">
        <v>193</v>
      </c>
      <c r="I52" s="25">
        <v>-126293.53</v>
      </c>
      <c r="K52" s="25">
        <v>-126293.53</v>
      </c>
      <c r="N52" s="102"/>
      <c r="O52" s="102"/>
      <c r="P52" s="102"/>
      <c r="Q52" s="102"/>
      <c r="R52" s="102"/>
      <c r="T52" s="102"/>
      <c r="U52" s="102"/>
      <c r="V52" s="102"/>
      <c r="W52" s="102"/>
      <c r="X52" s="66"/>
      <c r="Y52" s="66"/>
      <c r="Z52" s="66"/>
      <c r="AA52" s="66"/>
      <c r="AF52" s="9"/>
      <c r="AG52" s="9"/>
      <c r="AH52" s="9"/>
      <c r="AI52" s="9"/>
      <c r="AJ52" s="9"/>
      <c r="AK52" s="9"/>
      <c r="AL52" s="9"/>
      <c r="AM52" s="9"/>
      <c r="AN52" s="9"/>
    </row>
    <row r="53" spans="1:40" x14ac:dyDescent="0.25">
      <c r="A53" s="25" t="s">
        <v>98</v>
      </c>
      <c r="B53" s="25" t="s">
        <v>87</v>
      </c>
      <c r="C53" s="25" t="s">
        <v>172</v>
      </c>
      <c r="D53" s="25" t="s">
        <v>88</v>
      </c>
      <c r="E53" s="25" t="s">
        <v>109</v>
      </c>
      <c r="F53" s="25" t="s">
        <v>98</v>
      </c>
      <c r="G53" s="25" t="s">
        <v>173</v>
      </c>
      <c r="H53" s="25" t="s">
        <v>174</v>
      </c>
      <c r="I53" s="25">
        <v>252000</v>
      </c>
      <c r="N53" s="102"/>
      <c r="O53" s="102"/>
      <c r="P53" s="102">
        <v>252000</v>
      </c>
      <c r="Q53" s="102"/>
      <c r="R53" s="102"/>
      <c r="T53" s="102"/>
      <c r="U53" s="102"/>
      <c r="V53" s="102"/>
      <c r="W53" s="102"/>
      <c r="X53" s="66"/>
      <c r="Y53" s="66"/>
      <c r="Z53" s="66"/>
      <c r="AA53" s="66"/>
      <c r="AF53" s="9"/>
      <c r="AG53" s="9"/>
      <c r="AH53" s="9"/>
      <c r="AI53" s="9"/>
      <c r="AJ53" s="9"/>
      <c r="AK53" s="9"/>
      <c r="AL53" s="9"/>
      <c r="AM53" s="9"/>
      <c r="AN53" s="9"/>
    </row>
    <row r="54" spans="1:40" x14ac:dyDescent="0.25">
      <c r="A54" s="25" t="s">
        <v>98</v>
      </c>
      <c r="B54" s="25" t="s">
        <v>87</v>
      </c>
      <c r="C54" s="25" t="s">
        <v>172</v>
      </c>
      <c r="D54" s="25" t="s">
        <v>88</v>
      </c>
      <c r="E54" s="25" t="s">
        <v>109</v>
      </c>
      <c r="F54" s="25" t="s">
        <v>98</v>
      </c>
      <c r="G54" s="25" t="s">
        <v>175</v>
      </c>
      <c r="H54" s="25" t="s">
        <v>156</v>
      </c>
      <c r="I54" s="25">
        <v>150000</v>
      </c>
      <c r="K54" s="25">
        <v>150000</v>
      </c>
      <c r="N54" s="102"/>
      <c r="O54" s="102"/>
      <c r="P54" s="102"/>
      <c r="Q54" s="102"/>
      <c r="R54" s="102"/>
      <c r="T54" s="102"/>
      <c r="U54" s="102"/>
      <c r="V54" s="102"/>
      <c r="W54" s="102"/>
      <c r="X54" s="66"/>
      <c r="Y54" s="66"/>
      <c r="Z54" s="66"/>
      <c r="AA54" s="66"/>
      <c r="AF54" s="9"/>
      <c r="AG54" s="9"/>
      <c r="AH54" s="9"/>
      <c r="AI54" s="9"/>
      <c r="AJ54" s="9"/>
      <c r="AK54" s="9"/>
      <c r="AL54" s="9"/>
      <c r="AM54" s="9"/>
      <c r="AN54" s="9"/>
    </row>
    <row r="55" spans="1:40" x14ac:dyDescent="0.25">
      <c r="A55" s="25" t="s">
        <v>98</v>
      </c>
      <c r="B55" s="25" t="s">
        <v>87</v>
      </c>
      <c r="C55" s="25" t="s">
        <v>172</v>
      </c>
      <c r="D55" s="25" t="s">
        <v>88</v>
      </c>
      <c r="E55" s="25" t="s">
        <v>109</v>
      </c>
      <c r="F55" s="25" t="s">
        <v>98</v>
      </c>
      <c r="G55" s="25" t="s">
        <v>176</v>
      </c>
      <c r="H55" s="25" t="s">
        <v>156</v>
      </c>
      <c r="I55" s="25">
        <v>165000</v>
      </c>
      <c r="K55" s="25">
        <v>165000</v>
      </c>
      <c r="N55" s="102"/>
      <c r="O55" s="102"/>
      <c r="P55" s="102"/>
      <c r="Q55" s="102"/>
      <c r="R55" s="102"/>
      <c r="T55" s="102"/>
      <c r="U55" s="102"/>
      <c r="V55" s="102"/>
      <c r="W55" s="102"/>
      <c r="X55" s="66"/>
      <c r="Y55" s="66"/>
      <c r="Z55" s="66"/>
      <c r="AA55" s="66"/>
      <c r="AF55" s="9"/>
      <c r="AG55" s="9"/>
      <c r="AH55" s="9"/>
      <c r="AI55" s="9"/>
      <c r="AJ55" s="9"/>
      <c r="AK55" s="9"/>
      <c r="AL55" s="9"/>
      <c r="AM55" s="9"/>
      <c r="AN55" s="9"/>
    </row>
    <row r="56" spans="1:40" x14ac:dyDescent="0.25">
      <c r="A56" s="25" t="s">
        <v>98</v>
      </c>
      <c r="B56" s="25" t="s">
        <v>157</v>
      </c>
      <c r="C56" s="25" t="s">
        <v>145</v>
      </c>
      <c r="D56" s="25" t="s">
        <v>109</v>
      </c>
      <c r="E56" s="25" t="s">
        <v>107</v>
      </c>
      <c r="F56" s="25" t="s">
        <v>98</v>
      </c>
      <c r="H56" s="25" t="s">
        <v>146</v>
      </c>
      <c r="I56" s="25">
        <v>-170964</v>
      </c>
      <c r="K56" s="25">
        <v>-170964</v>
      </c>
      <c r="N56" s="102"/>
      <c r="O56" s="102"/>
      <c r="P56" s="102"/>
      <c r="Q56" s="102"/>
      <c r="R56" s="102"/>
      <c r="T56" s="102"/>
      <c r="U56" s="102"/>
      <c r="V56" s="102"/>
      <c r="W56" s="102"/>
      <c r="X56" s="66"/>
      <c r="Y56" s="66"/>
      <c r="Z56" s="66"/>
      <c r="AA56" s="66"/>
      <c r="AF56" s="9"/>
      <c r="AG56" s="9"/>
      <c r="AH56" s="9"/>
      <c r="AI56" s="9"/>
      <c r="AJ56" s="9"/>
      <c r="AK56" s="9"/>
      <c r="AL56" s="9"/>
      <c r="AM56" s="9"/>
      <c r="AN56" s="9"/>
    </row>
    <row r="57" spans="1:40" x14ac:dyDescent="0.25">
      <c r="A57" s="25" t="s">
        <v>98</v>
      </c>
      <c r="B57" s="25" t="s">
        <v>157</v>
      </c>
      <c r="C57" s="25" t="s">
        <v>147</v>
      </c>
      <c r="D57" s="25" t="s">
        <v>109</v>
      </c>
      <c r="E57" s="25" t="s">
        <v>141</v>
      </c>
      <c r="F57" s="25" t="s">
        <v>98</v>
      </c>
      <c r="H57" s="25" t="s">
        <v>148</v>
      </c>
      <c r="I57" s="25">
        <v>-165341</v>
      </c>
      <c r="K57" s="25">
        <v>-165341</v>
      </c>
      <c r="N57" s="102"/>
      <c r="O57" s="102"/>
      <c r="P57" s="102"/>
      <c r="Q57" s="102"/>
      <c r="R57" s="102"/>
      <c r="T57" s="102"/>
      <c r="U57" s="102"/>
      <c r="V57" s="102"/>
      <c r="W57" s="102"/>
      <c r="X57" s="66"/>
      <c r="Y57" s="66"/>
      <c r="Z57" s="66"/>
      <c r="AA57" s="66"/>
      <c r="AF57" s="9"/>
      <c r="AG57" s="9"/>
      <c r="AH57" s="9"/>
      <c r="AI57" s="9"/>
      <c r="AJ57" s="9"/>
      <c r="AK57" s="9"/>
      <c r="AL57" s="9"/>
      <c r="AM57" s="9"/>
      <c r="AN57" s="9"/>
    </row>
    <row r="58" spans="1:40" x14ac:dyDescent="0.25">
      <c r="A58" s="25" t="s">
        <v>98</v>
      </c>
      <c r="B58" s="25" t="s">
        <v>157</v>
      </c>
      <c r="C58" s="25" t="s">
        <v>160</v>
      </c>
      <c r="D58" s="25" t="s">
        <v>109</v>
      </c>
      <c r="E58" s="25" t="s">
        <v>88</v>
      </c>
      <c r="F58" s="25" t="s">
        <v>161</v>
      </c>
      <c r="G58" s="25" t="s">
        <v>155</v>
      </c>
      <c r="H58" s="25" t="s">
        <v>162</v>
      </c>
      <c r="I58" s="25">
        <v>-166541</v>
      </c>
      <c r="K58" s="25">
        <v>-166541</v>
      </c>
      <c r="N58" s="102"/>
      <c r="O58" s="102"/>
      <c r="P58" s="102"/>
      <c r="Q58" s="102"/>
      <c r="R58" s="102"/>
      <c r="T58" s="102"/>
      <c r="U58" s="102"/>
      <c r="V58" s="102"/>
      <c r="W58" s="102"/>
      <c r="X58" s="66"/>
      <c r="Y58" s="66"/>
      <c r="Z58" s="66"/>
      <c r="AA58" s="66"/>
      <c r="AF58" s="9"/>
      <c r="AG58" s="9"/>
      <c r="AH58" s="9"/>
      <c r="AI58" s="9"/>
      <c r="AJ58" s="9"/>
      <c r="AK58" s="9"/>
      <c r="AL58" s="9"/>
      <c r="AM58" s="9"/>
      <c r="AN58" s="9"/>
    </row>
    <row r="59" spans="1:40" x14ac:dyDescent="0.25">
      <c r="A59" s="25" t="s">
        <v>98</v>
      </c>
      <c r="B59" s="25" t="s">
        <v>105</v>
      </c>
      <c r="C59" s="25" t="s">
        <v>143</v>
      </c>
      <c r="D59" s="25" t="s">
        <v>141</v>
      </c>
      <c r="E59" s="25" t="s">
        <v>109</v>
      </c>
      <c r="F59" s="25" t="s">
        <v>178</v>
      </c>
      <c r="H59" s="25" t="s">
        <v>179</v>
      </c>
      <c r="I59" s="25">
        <v>302770</v>
      </c>
      <c r="N59" s="102"/>
      <c r="O59" s="102"/>
      <c r="P59" s="102">
        <v>302770</v>
      </c>
      <c r="Q59" s="102"/>
      <c r="R59" s="102"/>
      <c r="T59" s="102"/>
      <c r="U59" s="102"/>
      <c r="V59" s="102"/>
      <c r="W59" s="102"/>
      <c r="X59" s="66"/>
      <c r="Y59" s="66"/>
      <c r="Z59" s="66"/>
      <c r="AA59" s="66"/>
      <c r="AF59" s="9"/>
      <c r="AG59" s="9"/>
      <c r="AH59" s="9"/>
      <c r="AI59" s="9"/>
      <c r="AJ59" s="9"/>
      <c r="AK59" s="9"/>
      <c r="AL59" s="9"/>
      <c r="AM59" s="9"/>
      <c r="AN59" s="9"/>
    </row>
    <row r="60" spans="1:40" x14ac:dyDescent="0.25">
      <c r="A60" s="25" t="s">
        <v>90</v>
      </c>
      <c r="B60" s="25" t="s">
        <v>86</v>
      </c>
      <c r="C60" s="25" t="s">
        <v>200</v>
      </c>
      <c r="D60" s="25" t="s">
        <v>109</v>
      </c>
      <c r="E60" s="25" t="s">
        <v>88</v>
      </c>
      <c r="F60" s="25" t="s">
        <v>178</v>
      </c>
      <c r="G60" s="25" t="s">
        <v>201</v>
      </c>
      <c r="H60" s="25" t="s">
        <v>202</v>
      </c>
      <c r="I60" s="25">
        <v>-207994.35</v>
      </c>
      <c r="K60" s="25">
        <v>-207994.35</v>
      </c>
      <c r="N60" s="102"/>
      <c r="O60" s="102"/>
      <c r="P60" s="102"/>
      <c r="Q60" s="102"/>
      <c r="R60" s="102"/>
      <c r="T60" s="102"/>
      <c r="U60" s="102"/>
      <c r="V60" s="102"/>
      <c r="W60" s="102"/>
      <c r="X60" s="66"/>
      <c r="Y60" s="66"/>
      <c r="Z60" s="66"/>
      <c r="AA60" s="66"/>
      <c r="AF60" s="9"/>
      <c r="AG60" s="9"/>
      <c r="AH60" s="9"/>
      <c r="AI60" s="9"/>
      <c r="AJ60" s="9"/>
      <c r="AK60" s="9"/>
      <c r="AL60" s="9"/>
      <c r="AM60" s="9"/>
      <c r="AN60" s="9"/>
    </row>
    <row r="61" spans="1:40" x14ac:dyDescent="0.25">
      <c r="A61" s="25" t="s">
        <v>90</v>
      </c>
      <c r="B61" s="25" t="s">
        <v>86</v>
      </c>
      <c r="C61" s="25" t="s">
        <v>203</v>
      </c>
      <c r="D61" s="25" t="s">
        <v>109</v>
      </c>
      <c r="E61" s="25" t="s">
        <v>91</v>
      </c>
      <c r="F61" s="25" t="s">
        <v>178</v>
      </c>
      <c r="G61" s="25" t="s">
        <v>198</v>
      </c>
      <c r="H61" s="25" t="s">
        <v>199</v>
      </c>
      <c r="I61" s="25">
        <v>-118377</v>
      </c>
      <c r="N61" s="102">
        <v>-118377</v>
      </c>
      <c r="O61" s="102"/>
      <c r="P61" s="102"/>
      <c r="Q61" s="102"/>
      <c r="R61" s="102"/>
      <c r="T61" s="102"/>
      <c r="U61" s="102"/>
      <c r="V61" s="102"/>
      <c r="W61" s="102"/>
      <c r="X61" s="66"/>
      <c r="Y61" s="66"/>
      <c r="Z61" s="66"/>
      <c r="AA61" s="66"/>
      <c r="AF61" s="9"/>
      <c r="AG61" s="9"/>
      <c r="AH61" s="9"/>
      <c r="AI61" s="9"/>
      <c r="AJ61" s="9"/>
      <c r="AK61" s="9"/>
      <c r="AL61" s="9"/>
      <c r="AM61" s="9"/>
      <c r="AN61" s="9"/>
    </row>
    <row r="62" spans="1:40" x14ac:dyDescent="0.25">
      <c r="A62" s="25" t="s">
        <v>90</v>
      </c>
      <c r="B62" s="25" t="s">
        <v>87</v>
      </c>
      <c r="C62" s="25" t="s">
        <v>166</v>
      </c>
      <c r="D62" s="25" t="s">
        <v>88</v>
      </c>
      <c r="E62" s="25" t="s">
        <v>109</v>
      </c>
      <c r="F62" s="25" t="s">
        <v>90</v>
      </c>
      <c r="H62" s="25" t="s">
        <v>167</v>
      </c>
      <c r="I62" s="25">
        <v>344098.48</v>
      </c>
      <c r="N62" s="102">
        <v>344098.48</v>
      </c>
      <c r="O62" s="102"/>
      <c r="P62" s="102"/>
      <c r="Q62" s="102"/>
      <c r="R62" s="102"/>
      <c r="T62" s="102"/>
      <c r="U62" s="102"/>
      <c r="V62" s="102"/>
      <c r="W62" s="102"/>
      <c r="X62" s="66"/>
      <c r="Y62" s="66"/>
      <c r="Z62" s="66"/>
      <c r="AA62" s="66"/>
      <c r="AF62" s="9"/>
      <c r="AG62" s="9"/>
      <c r="AH62" s="9"/>
      <c r="AI62" s="9"/>
      <c r="AJ62" s="9"/>
      <c r="AK62" s="9"/>
      <c r="AL62" s="9"/>
      <c r="AM62" s="9"/>
      <c r="AN62" s="9"/>
    </row>
    <row r="63" spans="1:40" x14ac:dyDescent="0.25">
      <c r="A63" s="104" t="s">
        <v>90</v>
      </c>
      <c r="B63" s="104" t="s">
        <v>87</v>
      </c>
      <c r="C63" s="104" t="s">
        <v>172</v>
      </c>
      <c r="D63" s="104" t="s">
        <v>88</v>
      </c>
      <c r="E63" s="104" t="s">
        <v>109</v>
      </c>
      <c r="F63" s="104" t="s">
        <v>90</v>
      </c>
      <c r="G63" s="104" t="s">
        <v>173</v>
      </c>
      <c r="H63" s="104" t="s">
        <v>174</v>
      </c>
      <c r="I63" s="104">
        <v>295160</v>
      </c>
      <c r="J63" s="104"/>
      <c r="K63" s="104"/>
      <c r="L63" s="104"/>
      <c r="M63" s="104"/>
      <c r="N63" s="104">
        <v>295160</v>
      </c>
      <c r="O63" s="104"/>
      <c r="P63" s="104"/>
      <c r="Q63" s="104"/>
      <c r="R63" s="104"/>
      <c r="S63" s="104"/>
      <c r="T63" s="102"/>
      <c r="U63" s="102"/>
      <c r="V63" s="102"/>
      <c r="W63" s="102"/>
      <c r="X63" s="66"/>
      <c r="Y63" s="66"/>
      <c r="Z63" s="66"/>
      <c r="AA63" s="66"/>
      <c r="AF63" s="9"/>
      <c r="AG63" s="9"/>
      <c r="AH63" s="9"/>
      <c r="AI63" s="9"/>
      <c r="AJ63" s="9"/>
      <c r="AK63" s="9"/>
      <c r="AL63" s="9"/>
      <c r="AM63" s="9"/>
      <c r="AN63" s="9"/>
    </row>
    <row r="64" spans="1:40" x14ac:dyDescent="0.25">
      <c r="A64" s="104" t="s">
        <v>90</v>
      </c>
      <c r="B64" s="104" t="s">
        <v>87</v>
      </c>
      <c r="C64" s="104" t="s">
        <v>191</v>
      </c>
      <c r="D64" s="104" t="s">
        <v>88</v>
      </c>
      <c r="E64" s="104" t="s">
        <v>109</v>
      </c>
      <c r="F64" s="104" t="s">
        <v>90</v>
      </c>
      <c r="G64" s="104" t="s">
        <v>192</v>
      </c>
      <c r="H64" s="104" t="s">
        <v>193</v>
      </c>
      <c r="I64" s="104">
        <v>126293.53</v>
      </c>
      <c r="J64" s="104"/>
      <c r="K64" s="104"/>
      <c r="L64" s="104"/>
      <c r="M64" s="104"/>
      <c r="N64" s="104">
        <v>126293.53</v>
      </c>
      <c r="O64" s="104"/>
      <c r="P64" s="104"/>
      <c r="Q64" s="104"/>
      <c r="R64" s="104"/>
      <c r="S64" s="104"/>
      <c r="T64" s="102"/>
      <c r="U64" s="102"/>
      <c r="V64" s="102"/>
      <c r="W64" s="102"/>
      <c r="X64" s="66"/>
      <c r="Y64" s="66"/>
      <c r="Z64" s="66"/>
      <c r="AA64" s="66"/>
      <c r="AF64" s="9"/>
      <c r="AG64" s="9"/>
      <c r="AH64" s="9"/>
      <c r="AI64" s="9"/>
      <c r="AJ64" s="9"/>
      <c r="AK64" s="9"/>
      <c r="AL64" s="9"/>
      <c r="AM64" s="9"/>
      <c r="AN64" s="9"/>
    </row>
    <row r="65" spans="1:40" x14ac:dyDescent="0.25">
      <c r="A65" s="105" t="s">
        <v>90</v>
      </c>
      <c r="B65" s="105" t="s">
        <v>105</v>
      </c>
      <c r="C65" s="105" t="s">
        <v>195</v>
      </c>
      <c r="D65" s="105" t="s">
        <v>88</v>
      </c>
      <c r="E65" s="105" t="s">
        <v>109</v>
      </c>
      <c r="F65" s="105" t="s">
        <v>90</v>
      </c>
      <c r="G65" s="105" t="s">
        <v>194</v>
      </c>
      <c r="H65" s="105" t="s">
        <v>196</v>
      </c>
      <c r="I65" s="105">
        <v>343124</v>
      </c>
      <c r="J65" s="105">
        <v>343124</v>
      </c>
      <c r="K65" s="105"/>
      <c r="L65" s="105"/>
      <c r="M65" s="105"/>
      <c r="N65" s="105"/>
      <c r="O65" s="105"/>
      <c r="P65" s="105"/>
      <c r="Q65" s="105"/>
      <c r="R65" s="105"/>
      <c r="S65" s="105"/>
      <c r="T65" s="102"/>
      <c r="U65" s="102"/>
      <c r="V65" s="102"/>
      <c r="W65" s="102"/>
      <c r="X65" s="66"/>
      <c r="Y65" s="66"/>
      <c r="Z65" s="66"/>
      <c r="AA65" s="66"/>
      <c r="AF65" s="9"/>
      <c r="AG65" s="9"/>
      <c r="AH65" s="9"/>
      <c r="AI65" s="9"/>
      <c r="AJ65" s="9"/>
      <c r="AK65" s="9"/>
      <c r="AL65" s="9"/>
      <c r="AM65" s="9"/>
      <c r="AN65" s="9"/>
    </row>
    <row r="66" spans="1:40" x14ac:dyDescent="0.25">
      <c r="A66" s="105" t="s">
        <v>90</v>
      </c>
      <c r="B66" s="105" t="s">
        <v>105</v>
      </c>
      <c r="C66" s="105" t="s">
        <v>143</v>
      </c>
      <c r="D66" s="105" t="s">
        <v>141</v>
      </c>
      <c r="E66" s="105" t="s">
        <v>109</v>
      </c>
      <c r="F66" s="105" t="s">
        <v>178</v>
      </c>
      <c r="G66" s="105"/>
      <c r="H66" s="105" t="s">
        <v>180</v>
      </c>
      <c r="I66" s="105">
        <v>302770</v>
      </c>
      <c r="J66" s="105"/>
      <c r="K66" s="105"/>
      <c r="L66" s="105"/>
      <c r="M66" s="105"/>
      <c r="N66" s="105">
        <v>302770</v>
      </c>
      <c r="O66" s="105"/>
      <c r="P66" s="105"/>
      <c r="Q66" s="105"/>
      <c r="R66" s="105"/>
      <c r="S66" s="105"/>
      <c r="T66" s="102"/>
      <c r="U66" s="102"/>
      <c r="V66" s="102"/>
      <c r="W66" s="102"/>
      <c r="X66" s="66"/>
      <c r="Y66" s="66"/>
      <c r="Z66" s="66"/>
      <c r="AA66" s="66"/>
      <c r="AF66" s="9"/>
      <c r="AG66" s="9"/>
      <c r="AH66" s="9"/>
      <c r="AI66" s="9"/>
      <c r="AJ66" s="9"/>
      <c r="AK66" s="9"/>
      <c r="AL66" s="9"/>
      <c r="AM66" s="9"/>
      <c r="AN66" s="9"/>
    </row>
    <row r="67" spans="1:40" x14ac:dyDescent="0.25">
      <c r="A67" s="25" t="s">
        <v>90</v>
      </c>
      <c r="B67" s="25" t="s">
        <v>101</v>
      </c>
      <c r="C67" s="25" t="s">
        <v>195</v>
      </c>
      <c r="D67" s="25" t="s">
        <v>109</v>
      </c>
      <c r="E67" s="25" t="s">
        <v>88</v>
      </c>
      <c r="F67" s="25" t="s">
        <v>90</v>
      </c>
      <c r="G67" s="25" t="s">
        <v>194</v>
      </c>
      <c r="H67" s="25" t="s">
        <v>197</v>
      </c>
      <c r="I67" s="25">
        <v>-381249</v>
      </c>
      <c r="M67" s="25">
        <v>-381249</v>
      </c>
      <c r="T67" s="102"/>
      <c r="U67" s="102"/>
      <c r="V67" s="102"/>
      <c r="W67" s="102"/>
      <c r="X67" s="66"/>
      <c r="Y67" s="66"/>
      <c r="Z67" s="66"/>
      <c r="AA67" s="66"/>
      <c r="AF67" s="9"/>
      <c r="AG67" s="9"/>
      <c r="AH67" s="9"/>
      <c r="AI67" s="9"/>
      <c r="AJ67" s="9"/>
      <c r="AK67" s="9"/>
      <c r="AL67" s="9"/>
      <c r="AM67" s="9"/>
      <c r="AN67" s="9"/>
    </row>
    <row r="68" spans="1:40" x14ac:dyDescent="0.25">
      <c r="A68" s="25" t="s">
        <v>178</v>
      </c>
      <c r="B68" s="25" t="s">
        <v>86</v>
      </c>
      <c r="C68" s="25" t="s">
        <v>204</v>
      </c>
      <c r="D68" s="25" t="s">
        <v>109</v>
      </c>
      <c r="E68" s="25" t="s">
        <v>88</v>
      </c>
      <c r="F68" s="25" t="s">
        <v>205</v>
      </c>
      <c r="G68" s="25" t="s">
        <v>206</v>
      </c>
      <c r="H68" s="25" t="s">
        <v>156</v>
      </c>
      <c r="I68" s="25">
        <v>-88295.59</v>
      </c>
      <c r="K68" s="25">
        <v>-88295.59</v>
      </c>
      <c r="T68" s="102"/>
      <c r="U68" s="102"/>
      <c r="V68" s="102"/>
      <c r="W68" s="102"/>
      <c r="X68" s="66"/>
      <c r="Y68" s="66"/>
      <c r="Z68" s="66"/>
      <c r="AA68" s="66"/>
      <c r="AF68" s="9"/>
      <c r="AG68" s="9"/>
      <c r="AH68" s="9"/>
      <c r="AI68" s="9"/>
      <c r="AJ68" s="9"/>
      <c r="AK68" s="9"/>
      <c r="AL68" s="9"/>
      <c r="AM68" s="9"/>
      <c r="AN68" s="9"/>
    </row>
    <row r="69" spans="1:40" x14ac:dyDescent="0.25">
      <c r="A69" s="106" t="s">
        <v>178</v>
      </c>
      <c r="B69" s="106" t="s">
        <v>86</v>
      </c>
      <c r="C69" s="106" t="s">
        <v>204</v>
      </c>
      <c r="D69" s="106" t="s">
        <v>109</v>
      </c>
      <c r="E69" s="106" t="s">
        <v>88</v>
      </c>
      <c r="F69" s="106" t="s">
        <v>205</v>
      </c>
      <c r="G69" s="106" t="s">
        <v>207</v>
      </c>
      <c r="H69" s="106" t="s">
        <v>202</v>
      </c>
      <c r="I69" s="106">
        <v>-141344.54999999999</v>
      </c>
      <c r="J69" s="106"/>
      <c r="K69" s="106"/>
      <c r="L69" s="106"/>
      <c r="M69" s="106"/>
      <c r="N69" s="106"/>
      <c r="O69" s="106"/>
      <c r="P69" s="106">
        <v>-141344.54999999999</v>
      </c>
      <c r="Q69" s="106"/>
      <c r="R69" s="106"/>
      <c r="S69" s="106"/>
      <c r="T69" s="102"/>
      <c r="U69" s="102"/>
      <c r="V69" s="102"/>
      <c r="W69" s="102"/>
      <c r="X69" s="66"/>
      <c r="Y69" s="66"/>
      <c r="Z69" s="66"/>
      <c r="AA69" s="66"/>
      <c r="AF69" s="9"/>
      <c r="AG69" s="9"/>
      <c r="AH69" s="9"/>
      <c r="AI69" s="9"/>
      <c r="AJ69" s="9"/>
      <c r="AK69" s="9"/>
      <c r="AL69" s="9"/>
      <c r="AM69" s="9"/>
      <c r="AN69" s="9"/>
    </row>
    <row r="70" spans="1:40" x14ac:dyDescent="0.25">
      <c r="A70" s="106" t="s">
        <v>178</v>
      </c>
      <c r="B70" s="106" t="s">
        <v>87</v>
      </c>
      <c r="C70" s="106" t="s">
        <v>200</v>
      </c>
      <c r="D70" s="106" t="s">
        <v>88</v>
      </c>
      <c r="E70" s="106" t="s">
        <v>109</v>
      </c>
      <c r="F70" s="106" t="s">
        <v>178</v>
      </c>
      <c r="G70" s="106" t="s">
        <v>201</v>
      </c>
      <c r="H70" s="106" t="s">
        <v>202</v>
      </c>
      <c r="I70" s="106">
        <v>207994.35</v>
      </c>
      <c r="J70" s="106"/>
      <c r="K70" s="106"/>
      <c r="L70" s="106"/>
      <c r="M70" s="106"/>
      <c r="N70" s="106">
        <v>207994.35</v>
      </c>
      <c r="O70" s="106"/>
      <c r="P70" s="106"/>
      <c r="Q70" s="106"/>
      <c r="R70" s="106"/>
      <c r="S70" s="106"/>
      <c r="T70" s="102"/>
      <c r="U70" s="102"/>
      <c r="V70" s="102"/>
      <c r="W70" s="102"/>
      <c r="X70" s="66"/>
      <c r="Y70" s="66"/>
      <c r="Z70" s="66"/>
      <c r="AA70" s="66"/>
      <c r="AF70" s="9"/>
      <c r="AG70" s="9"/>
      <c r="AH70" s="9"/>
      <c r="AI70" s="9"/>
      <c r="AJ70" s="9"/>
      <c r="AK70" s="9"/>
      <c r="AL70" s="9"/>
      <c r="AM70" s="9"/>
      <c r="AN70" s="9"/>
    </row>
    <row r="71" spans="1:40" x14ac:dyDescent="0.25">
      <c r="A71" s="118" t="s">
        <v>178</v>
      </c>
      <c r="B71" s="118" t="s">
        <v>87</v>
      </c>
      <c r="C71" s="118" t="s">
        <v>203</v>
      </c>
      <c r="D71" s="118" t="s">
        <v>91</v>
      </c>
      <c r="E71" s="118" t="s">
        <v>109</v>
      </c>
      <c r="F71" s="118" t="s">
        <v>178</v>
      </c>
      <c r="G71" s="118" t="s">
        <v>198</v>
      </c>
      <c r="H71" s="118" t="s">
        <v>199</v>
      </c>
      <c r="I71" s="118">
        <v>118377</v>
      </c>
      <c r="J71" s="118"/>
      <c r="K71" s="118"/>
      <c r="L71" s="118"/>
      <c r="M71" s="118"/>
      <c r="N71" s="118">
        <v>118377</v>
      </c>
      <c r="O71" s="118"/>
      <c r="P71" s="118"/>
      <c r="Q71" s="118"/>
      <c r="R71" s="118"/>
      <c r="S71" s="118"/>
      <c r="T71" s="102"/>
      <c r="U71" s="102"/>
      <c r="V71" s="102"/>
      <c r="W71" s="102"/>
      <c r="X71" s="66"/>
      <c r="Y71" s="66"/>
      <c r="Z71" s="66"/>
      <c r="AA71" s="66"/>
      <c r="AF71" s="9"/>
      <c r="AG71" s="9"/>
      <c r="AH71" s="9"/>
      <c r="AI71" s="9"/>
      <c r="AJ71" s="9"/>
      <c r="AK71" s="9"/>
      <c r="AL71" s="9"/>
      <c r="AM71" s="9"/>
      <c r="AN71" s="9"/>
    </row>
    <row r="72" spans="1:40" x14ac:dyDescent="0.25">
      <c r="A72" s="118" t="s">
        <v>178</v>
      </c>
      <c r="B72" s="118" t="s">
        <v>105</v>
      </c>
      <c r="C72" s="118" t="s">
        <v>143</v>
      </c>
      <c r="D72" s="118" t="s">
        <v>141</v>
      </c>
      <c r="E72" s="118" t="s">
        <v>109</v>
      </c>
      <c r="F72" s="118" t="s">
        <v>178</v>
      </c>
      <c r="G72" s="118"/>
      <c r="H72" s="118" t="s">
        <v>181</v>
      </c>
      <c r="I72" s="118">
        <v>302770</v>
      </c>
      <c r="J72" s="118"/>
      <c r="K72" s="118"/>
      <c r="L72" s="118"/>
      <c r="M72" s="118"/>
      <c r="N72" s="118">
        <v>302770</v>
      </c>
      <c r="O72" s="118"/>
      <c r="P72" s="118"/>
      <c r="Q72" s="118"/>
      <c r="R72" s="118"/>
      <c r="S72" s="118"/>
      <c r="T72" s="102"/>
      <c r="U72" s="102"/>
      <c r="V72" s="102"/>
      <c r="W72" s="102"/>
      <c r="X72" s="66"/>
      <c r="Y72" s="66"/>
      <c r="Z72" s="66"/>
      <c r="AA72" s="66"/>
      <c r="AF72" s="9"/>
      <c r="AG72" s="9"/>
      <c r="AH72" s="9"/>
      <c r="AI72" s="9"/>
      <c r="AJ72" s="9"/>
      <c r="AK72" s="9"/>
      <c r="AL72" s="9"/>
      <c r="AM72" s="9"/>
      <c r="AN72" s="9"/>
    </row>
    <row r="73" spans="1:40" x14ac:dyDescent="0.25">
      <c r="A73" s="118" t="s">
        <v>205</v>
      </c>
      <c r="B73" s="118" t="s">
        <v>86</v>
      </c>
      <c r="C73" s="118" t="s">
        <v>208</v>
      </c>
      <c r="D73" s="118" t="s">
        <v>109</v>
      </c>
      <c r="E73" s="118" t="s">
        <v>88</v>
      </c>
      <c r="F73" s="118" t="s">
        <v>209</v>
      </c>
      <c r="G73" s="118" t="s">
        <v>206</v>
      </c>
      <c r="H73" s="118" t="s">
        <v>156</v>
      </c>
      <c r="I73" s="118">
        <v>-88295.59</v>
      </c>
      <c r="J73" s="118"/>
      <c r="K73" s="118">
        <v>-88295.59</v>
      </c>
      <c r="L73" s="118"/>
      <c r="M73" s="118"/>
      <c r="N73" s="118"/>
      <c r="O73" s="118"/>
      <c r="P73" s="118"/>
      <c r="Q73" s="118"/>
      <c r="R73" s="118"/>
      <c r="S73" s="118"/>
      <c r="T73" s="102"/>
      <c r="U73" s="102"/>
      <c r="V73" s="102"/>
      <c r="W73" s="102"/>
      <c r="X73" s="66"/>
      <c r="Y73" s="66"/>
      <c r="Z73" s="66"/>
      <c r="AA73" s="66"/>
      <c r="AF73" s="9"/>
      <c r="AG73" s="9"/>
      <c r="AH73" s="9"/>
      <c r="AI73" s="9"/>
      <c r="AJ73" s="9"/>
      <c r="AK73" s="9"/>
      <c r="AL73" s="9"/>
      <c r="AM73" s="9"/>
      <c r="AN73" s="9"/>
    </row>
    <row r="74" spans="1:40" x14ac:dyDescent="0.25">
      <c r="A74" s="118" t="s">
        <v>205</v>
      </c>
      <c r="B74" s="118" t="s">
        <v>86</v>
      </c>
      <c r="C74" s="118" t="s">
        <v>208</v>
      </c>
      <c r="D74" s="118" t="s">
        <v>109</v>
      </c>
      <c r="E74" s="118" t="s">
        <v>88</v>
      </c>
      <c r="F74" s="118" t="s">
        <v>209</v>
      </c>
      <c r="G74" s="118" t="s">
        <v>206</v>
      </c>
      <c r="H74" s="118" t="s">
        <v>202</v>
      </c>
      <c r="I74" s="118">
        <v>-492829.55</v>
      </c>
      <c r="J74" s="118"/>
      <c r="K74" s="118"/>
      <c r="L74" s="118"/>
      <c r="M74" s="118"/>
      <c r="N74" s="118">
        <v>-492829.55</v>
      </c>
      <c r="O74" s="118"/>
      <c r="P74" s="118"/>
      <c r="Q74" s="118"/>
      <c r="R74" s="118"/>
      <c r="S74" s="118"/>
      <c r="T74" s="102"/>
      <c r="U74" s="102"/>
      <c r="V74" s="102"/>
      <c r="W74" s="102"/>
      <c r="X74" s="66"/>
      <c r="Y74" s="66"/>
      <c r="Z74" s="66"/>
      <c r="AA74" s="66"/>
      <c r="AF74" s="9"/>
      <c r="AG74" s="9"/>
      <c r="AH74" s="9"/>
      <c r="AI74" s="9"/>
      <c r="AJ74" s="9"/>
      <c r="AK74" s="9"/>
      <c r="AL74" s="9"/>
      <c r="AM74" s="9"/>
      <c r="AN74" s="9"/>
    </row>
    <row r="75" spans="1:40" x14ac:dyDescent="0.25">
      <c r="A75" s="118" t="s">
        <v>205</v>
      </c>
      <c r="B75" s="118" t="s">
        <v>87</v>
      </c>
      <c r="C75" s="118" t="s">
        <v>204</v>
      </c>
      <c r="D75" s="118" t="s">
        <v>88</v>
      </c>
      <c r="E75" s="118" t="s">
        <v>109</v>
      </c>
      <c r="F75" s="118" t="s">
        <v>205</v>
      </c>
      <c r="G75" s="118" t="s">
        <v>206</v>
      </c>
      <c r="H75" s="118" t="s">
        <v>156</v>
      </c>
      <c r="I75" s="118">
        <v>88295.59</v>
      </c>
      <c r="J75" s="118"/>
      <c r="K75" s="118">
        <v>88295.59</v>
      </c>
      <c r="L75" s="118"/>
      <c r="M75" s="118"/>
      <c r="N75" s="118"/>
      <c r="O75" s="118"/>
      <c r="P75" s="118"/>
      <c r="Q75" s="118"/>
      <c r="R75" s="118"/>
      <c r="S75" s="118"/>
      <c r="T75" s="102"/>
      <c r="U75" s="102"/>
      <c r="V75" s="102"/>
      <c r="W75" s="102"/>
      <c r="X75" s="66"/>
      <c r="Y75" s="66"/>
      <c r="Z75" s="66"/>
      <c r="AA75" s="66"/>
      <c r="AF75" s="9"/>
      <c r="AG75" s="9"/>
      <c r="AH75" s="9"/>
      <c r="AI75" s="9"/>
      <c r="AJ75" s="9"/>
      <c r="AK75" s="9"/>
      <c r="AL75" s="9"/>
      <c r="AM75" s="9"/>
      <c r="AN75" s="9"/>
    </row>
    <row r="76" spans="1:40" x14ac:dyDescent="0.25">
      <c r="A76" s="118" t="s">
        <v>205</v>
      </c>
      <c r="B76" s="118" t="s">
        <v>87</v>
      </c>
      <c r="C76" s="118" t="s">
        <v>204</v>
      </c>
      <c r="D76" s="118" t="s">
        <v>88</v>
      </c>
      <c r="E76" s="118" t="s">
        <v>109</v>
      </c>
      <c r="F76" s="118" t="s">
        <v>205</v>
      </c>
      <c r="G76" s="118" t="s">
        <v>207</v>
      </c>
      <c r="H76" s="118" t="s">
        <v>202</v>
      </c>
      <c r="I76" s="118">
        <v>141344.54999999999</v>
      </c>
      <c r="J76" s="118"/>
      <c r="K76" s="118"/>
      <c r="L76" s="118"/>
      <c r="M76" s="118"/>
      <c r="N76" s="118"/>
      <c r="O76" s="118"/>
      <c r="P76" s="118">
        <v>141344.54999999999</v>
      </c>
      <c r="Q76" s="118"/>
      <c r="R76" s="118"/>
      <c r="S76" s="118"/>
      <c r="T76" s="102"/>
      <c r="U76" s="102"/>
      <c r="V76" s="102"/>
      <c r="W76" s="102"/>
      <c r="X76" s="66"/>
      <c r="Y76" s="66"/>
      <c r="Z76" s="66"/>
      <c r="AA76" s="66"/>
      <c r="AF76" s="9"/>
      <c r="AG76" s="9"/>
      <c r="AH76" s="9"/>
      <c r="AI76" s="9"/>
      <c r="AJ76" s="9"/>
      <c r="AK76" s="9"/>
      <c r="AL76" s="9"/>
      <c r="AM76" s="9"/>
      <c r="AN76" s="9"/>
    </row>
    <row r="77" spans="1:40" x14ac:dyDescent="0.25">
      <c r="A77" s="118" t="s">
        <v>209</v>
      </c>
      <c r="B77" s="118" t="s">
        <v>86</v>
      </c>
      <c r="C77" s="118" t="s">
        <v>228</v>
      </c>
      <c r="D77" s="118" t="s">
        <v>109</v>
      </c>
      <c r="E77" s="118" t="s">
        <v>88</v>
      </c>
      <c r="F77" s="118" t="s">
        <v>210</v>
      </c>
      <c r="G77" s="118" t="s">
        <v>236</v>
      </c>
      <c r="H77" s="118" t="s">
        <v>156</v>
      </c>
      <c r="I77" s="118">
        <v>-43081.59</v>
      </c>
      <c r="J77" s="118"/>
      <c r="K77" s="118">
        <v>-43081.59</v>
      </c>
      <c r="L77" s="118"/>
      <c r="M77" s="118"/>
      <c r="N77" s="118"/>
      <c r="O77" s="118"/>
      <c r="P77" s="118"/>
      <c r="Q77" s="118"/>
      <c r="R77" s="118"/>
      <c r="S77" s="118"/>
      <c r="T77" s="102"/>
      <c r="U77" s="102"/>
      <c r="V77" s="102"/>
      <c r="W77" s="102"/>
      <c r="X77" s="66"/>
      <c r="Y77" s="66"/>
      <c r="Z77" s="66"/>
      <c r="AA77" s="66"/>
      <c r="AF77" s="9"/>
      <c r="AG77" s="9"/>
      <c r="AH77" s="9"/>
      <c r="AI77" s="9"/>
      <c r="AJ77" s="9"/>
      <c r="AK77" s="9"/>
      <c r="AL77" s="9"/>
      <c r="AM77" s="9"/>
      <c r="AN77" s="9"/>
    </row>
    <row r="78" spans="1:40" x14ac:dyDescent="0.25">
      <c r="A78" s="118" t="s">
        <v>209</v>
      </c>
      <c r="B78" s="118" t="s">
        <v>86</v>
      </c>
      <c r="C78" s="118" t="s">
        <v>228</v>
      </c>
      <c r="D78" s="118" t="s">
        <v>109</v>
      </c>
      <c r="E78" s="118" t="s">
        <v>88</v>
      </c>
      <c r="F78" s="118" t="s">
        <v>210</v>
      </c>
      <c r="G78" s="118" t="s">
        <v>237</v>
      </c>
      <c r="H78" s="118" t="s">
        <v>202</v>
      </c>
      <c r="I78" s="118">
        <v>-993494.04</v>
      </c>
      <c r="J78" s="118"/>
      <c r="K78" s="118"/>
      <c r="L78" s="118"/>
      <c r="M78" s="118">
        <v>-444180.33</v>
      </c>
      <c r="N78" s="118">
        <v>-29424.71</v>
      </c>
      <c r="O78" s="118">
        <v>-519889</v>
      </c>
      <c r="P78" s="118"/>
      <c r="Q78" s="118"/>
      <c r="R78" s="118"/>
      <c r="S78" s="118"/>
      <c r="T78" s="102"/>
      <c r="U78" s="102"/>
      <c r="V78" s="102"/>
      <c r="W78" s="102"/>
      <c r="X78" s="66"/>
      <c r="Y78" s="66"/>
      <c r="Z78" s="66"/>
      <c r="AA78" s="66"/>
      <c r="AF78" s="9"/>
      <c r="AG78" s="9"/>
      <c r="AH78" s="9"/>
      <c r="AI78" s="9"/>
      <c r="AJ78" s="9"/>
      <c r="AK78" s="9"/>
      <c r="AL78" s="9"/>
      <c r="AM78" s="9"/>
      <c r="AN78" s="9"/>
    </row>
    <row r="79" spans="1:40" x14ac:dyDescent="0.25">
      <c r="A79" s="25" t="s">
        <v>209</v>
      </c>
      <c r="B79" s="25" t="s">
        <v>87</v>
      </c>
      <c r="C79" s="25" t="s">
        <v>208</v>
      </c>
      <c r="D79" s="25" t="s">
        <v>88</v>
      </c>
      <c r="E79" s="25" t="s">
        <v>109</v>
      </c>
      <c r="F79" s="25" t="s">
        <v>209</v>
      </c>
      <c r="G79" s="25" t="s">
        <v>206</v>
      </c>
      <c r="H79" s="25" t="s">
        <v>156</v>
      </c>
      <c r="I79" s="25">
        <v>88295.59</v>
      </c>
      <c r="K79" s="25">
        <v>88295.59</v>
      </c>
      <c r="T79" s="102"/>
      <c r="U79" s="102"/>
      <c r="V79" s="102"/>
      <c r="W79" s="102"/>
      <c r="X79" s="66"/>
      <c r="Y79" s="66"/>
      <c r="Z79" s="66"/>
      <c r="AA79" s="66"/>
      <c r="AF79" s="9"/>
      <c r="AG79" s="9"/>
      <c r="AH79" s="9"/>
      <c r="AI79" s="9"/>
      <c r="AJ79" s="9"/>
      <c r="AK79" s="9"/>
      <c r="AL79" s="9"/>
      <c r="AM79" s="9"/>
      <c r="AN79" s="9"/>
    </row>
    <row r="80" spans="1:40" x14ac:dyDescent="0.25">
      <c r="A80" s="25" t="s">
        <v>210</v>
      </c>
      <c r="B80" s="25" t="s">
        <v>87</v>
      </c>
      <c r="C80" s="25" t="s">
        <v>208</v>
      </c>
      <c r="D80" s="25" t="s">
        <v>88</v>
      </c>
      <c r="E80" s="25" t="s">
        <v>109</v>
      </c>
      <c r="F80" s="25" t="s">
        <v>209</v>
      </c>
      <c r="G80" s="25" t="s">
        <v>206</v>
      </c>
      <c r="H80" s="25" t="s">
        <v>211</v>
      </c>
      <c r="I80" s="25">
        <v>492829.55</v>
      </c>
      <c r="N80" s="25">
        <v>492829.55</v>
      </c>
      <c r="T80" s="102"/>
      <c r="U80" s="102"/>
      <c r="V80" s="102"/>
      <c r="W80" s="102"/>
      <c r="X80" s="66"/>
      <c r="Y80" s="66"/>
      <c r="Z80" s="66"/>
      <c r="AA80" s="66"/>
      <c r="AF80" s="9"/>
      <c r="AG80" s="9"/>
      <c r="AH80" s="9"/>
      <c r="AI80" s="9"/>
      <c r="AJ80" s="9"/>
      <c r="AK80" s="9"/>
      <c r="AL80" s="9"/>
      <c r="AM80" s="9"/>
      <c r="AN80" s="9"/>
    </row>
    <row r="81" spans="1:40" ht="15.75" customHeight="1" x14ac:dyDescent="0.25">
      <c r="A81" s="25" t="s">
        <v>210</v>
      </c>
      <c r="B81" s="25" t="s">
        <v>87</v>
      </c>
      <c r="C81" s="25" t="s">
        <v>228</v>
      </c>
      <c r="D81" s="25" t="s">
        <v>88</v>
      </c>
      <c r="E81" s="25" t="s">
        <v>109</v>
      </c>
      <c r="F81" s="25" t="s">
        <v>210</v>
      </c>
      <c r="G81" s="25" t="s">
        <v>236</v>
      </c>
      <c r="H81" s="25" t="s">
        <v>156</v>
      </c>
      <c r="I81" s="25">
        <v>43081.59</v>
      </c>
      <c r="K81" s="25">
        <v>43081.59</v>
      </c>
      <c r="AG81" s="66"/>
      <c r="AH81" s="66"/>
      <c r="AI81" s="66"/>
      <c r="AJ81" s="66"/>
    </row>
    <row r="82" spans="1:40" x14ac:dyDescent="0.25">
      <c r="A82" s="25" t="s">
        <v>210</v>
      </c>
      <c r="B82" s="25" t="s">
        <v>87</v>
      </c>
      <c r="C82" s="25" t="s">
        <v>228</v>
      </c>
      <c r="D82" s="25" t="s">
        <v>88</v>
      </c>
      <c r="E82" s="25" t="s">
        <v>109</v>
      </c>
      <c r="F82" s="25" t="s">
        <v>210</v>
      </c>
      <c r="G82" s="25" t="s">
        <v>237</v>
      </c>
      <c r="H82" s="25" t="s">
        <v>202</v>
      </c>
      <c r="I82" s="25">
        <v>993494.04</v>
      </c>
      <c r="M82" s="25">
        <v>444180.33</v>
      </c>
      <c r="N82" s="25">
        <v>29424.71</v>
      </c>
      <c r="O82" s="25">
        <v>519889</v>
      </c>
    </row>
    <row r="83" spans="1:40" x14ac:dyDescent="0.25">
      <c r="A83" s="25" t="s">
        <v>210</v>
      </c>
      <c r="B83" s="25" t="s">
        <v>87</v>
      </c>
      <c r="C83" s="25" t="s">
        <v>245</v>
      </c>
      <c r="D83" s="25" t="s">
        <v>88</v>
      </c>
      <c r="E83" s="25" t="s">
        <v>109</v>
      </c>
      <c r="F83" s="25" t="s">
        <v>210</v>
      </c>
      <c r="G83" s="25" t="s">
        <v>246</v>
      </c>
      <c r="H83" s="25" t="s">
        <v>202</v>
      </c>
      <c r="I83" s="25">
        <v>884408</v>
      </c>
      <c r="O83" s="25">
        <v>884408</v>
      </c>
    </row>
    <row r="84" spans="1:40" x14ac:dyDescent="0.25">
      <c r="A84" s="25" t="s">
        <v>210</v>
      </c>
      <c r="B84" s="25" t="s">
        <v>87</v>
      </c>
      <c r="C84" s="25" t="s">
        <v>247</v>
      </c>
      <c r="D84" s="25" t="s">
        <v>88</v>
      </c>
      <c r="E84" s="25" t="s">
        <v>109</v>
      </c>
      <c r="F84" s="25" t="s">
        <v>210</v>
      </c>
      <c r="G84" s="25" t="s">
        <v>246</v>
      </c>
      <c r="H84" s="25" t="s">
        <v>202</v>
      </c>
      <c r="I84" s="25">
        <v>473023</v>
      </c>
      <c r="O84" s="25">
        <v>473023</v>
      </c>
    </row>
    <row r="85" spans="1:40" x14ac:dyDescent="0.25">
      <c r="A85" s="25" t="s">
        <v>210</v>
      </c>
      <c r="B85" s="25" t="s">
        <v>105</v>
      </c>
      <c r="C85" s="25" t="s">
        <v>249</v>
      </c>
      <c r="D85" s="25" t="s">
        <v>88</v>
      </c>
      <c r="E85" s="25" t="s">
        <v>109</v>
      </c>
      <c r="F85" s="25" t="s">
        <v>210</v>
      </c>
      <c r="G85" s="25" t="s">
        <v>242</v>
      </c>
      <c r="H85" s="25" t="s">
        <v>196</v>
      </c>
      <c r="I85" s="25">
        <v>2977627</v>
      </c>
      <c r="J85" s="25">
        <v>2977627</v>
      </c>
    </row>
    <row r="86" spans="1:40" x14ac:dyDescent="0.25">
      <c r="A86" s="25" t="s">
        <v>210</v>
      </c>
      <c r="B86" s="25" t="s">
        <v>101</v>
      </c>
      <c r="C86" s="25" t="s">
        <v>249</v>
      </c>
      <c r="D86" s="25" t="s">
        <v>109</v>
      </c>
      <c r="E86" s="25" t="s">
        <v>88</v>
      </c>
      <c r="F86" s="25" t="s">
        <v>210</v>
      </c>
      <c r="G86" s="25" t="s">
        <v>242</v>
      </c>
      <c r="H86" s="25" t="s">
        <v>250</v>
      </c>
      <c r="I86" s="25">
        <v>-3308474</v>
      </c>
      <c r="O86" s="25">
        <v>-3308474</v>
      </c>
    </row>
    <row r="87" spans="1:40" x14ac:dyDescent="0.25">
      <c r="A87" s="25" t="s">
        <v>254</v>
      </c>
      <c r="B87" s="25" t="s">
        <v>86</v>
      </c>
      <c r="C87" s="25" t="s">
        <v>245</v>
      </c>
      <c r="D87" s="25" t="s">
        <v>109</v>
      </c>
      <c r="E87" s="25" t="s">
        <v>88</v>
      </c>
      <c r="F87" s="25" t="s">
        <v>210</v>
      </c>
      <c r="G87" s="25" t="s">
        <v>246</v>
      </c>
      <c r="H87" s="25" t="s">
        <v>202</v>
      </c>
      <c r="I87" s="25">
        <v>-884408</v>
      </c>
      <c r="O87" s="25">
        <v>-884408</v>
      </c>
    </row>
    <row r="88" spans="1:40" x14ac:dyDescent="0.25">
      <c r="A88" s="25" t="s">
        <v>254</v>
      </c>
      <c r="B88" s="25" t="s">
        <v>86</v>
      </c>
      <c r="C88" s="25" t="s">
        <v>270</v>
      </c>
      <c r="D88" s="25" t="s">
        <v>109</v>
      </c>
      <c r="E88" s="25" t="s">
        <v>88</v>
      </c>
      <c r="F88" s="25" t="s">
        <v>255</v>
      </c>
      <c r="G88" s="25" t="s">
        <v>271</v>
      </c>
      <c r="H88" s="25" t="s">
        <v>272</v>
      </c>
      <c r="I88" s="25">
        <v>-58465.95</v>
      </c>
      <c r="M88" s="25">
        <v>-58465.95</v>
      </c>
    </row>
    <row r="89" spans="1:40" x14ac:dyDescent="0.25">
      <c r="A89" s="25" t="s">
        <v>255</v>
      </c>
      <c r="B89" s="25" t="s">
        <v>86</v>
      </c>
      <c r="C89" s="25" t="s">
        <v>247</v>
      </c>
      <c r="D89" s="25" t="s">
        <v>109</v>
      </c>
      <c r="E89" s="25" t="s">
        <v>88</v>
      </c>
      <c r="F89" s="25" t="s">
        <v>210</v>
      </c>
      <c r="G89" s="25" t="s">
        <v>246</v>
      </c>
      <c r="H89" s="25" t="s">
        <v>202</v>
      </c>
      <c r="I89" s="25">
        <v>-473023</v>
      </c>
      <c r="O89" s="25">
        <v>-473023</v>
      </c>
    </row>
    <row r="90" spans="1:40" x14ac:dyDescent="0.25">
      <c r="A90" s="25" t="s">
        <v>255</v>
      </c>
      <c r="B90" s="25" t="s">
        <v>87</v>
      </c>
      <c r="C90" s="25" t="s">
        <v>270</v>
      </c>
      <c r="D90" s="25" t="s">
        <v>88</v>
      </c>
      <c r="E90" s="25" t="s">
        <v>109</v>
      </c>
      <c r="F90" s="25" t="s">
        <v>255</v>
      </c>
      <c r="G90" s="25" t="s">
        <v>271</v>
      </c>
      <c r="H90" s="25" t="s">
        <v>272</v>
      </c>
      <c r="I90" s="25">
        <v>58465.95</v>
      </c>
      <c r="M90" s="25">
        <v>58465.95</v>
      </c>
    </row>
    <row r="91" spans="1:40" ht="15.75" x14ac:dyDescent="0.25">
      <c r="A91" s="234" t="s">
        <v>244</v>
      </c>
      <c r="B91" s="234"/>
      <c r="C91" s="234"/>
      <c r="D91" s="234"/>
      <c r="E91" s="234"/>
      <c r="F91" s="234"/>
      <c r="G91" s="234"/>
      <c r="H91" s="25"/>
    </row>
    <row r="92" spans="1:40" x14ac:dyDescent="0.25">
      <c r="H92" s="25"/>
    </row>
    <row r="93" spans="1:40" x14ac:dyDescent="0.25">
      <c r="A93" s="66" t="s">
        <v>41</v>
      </c>
      <c r="B93" s="66" t="s">
        <v>42</v>
      </c>
      <c r="C93" s="66" t="s">
        <v>13</v>
      </c>
      <c r="D93" s="66" t="s">
        <v>81</v>
      </c>
      <c r="E93" s="66" t="s">
        <v>82</v>
      </c>
      <c r="F93" s="66" t="s">
        <v>43</v>
      </c>
      <c r="G93" s="66" t="s">
        <v>83</v>
      </c>
      <c r="H93" s="66" t="s">
        <v>84</v>
      </c>
      <c r="I93" s="66" t="s">
        <v>10</v>
      </c>
      <c r="J93" s="66" t="s">
        <v>188</v>
      </c>
      <c r="K93" s="66" t="s">
        <v>4</v>
      </c>
      <c r="L93" s="66" t="s">
        <v>5</v>
      </c>
      <c r="M93" s="66" t="s">
        <v>99</v>
      </c>
      <c r="N93" s="66" t="s">
        <v>102</v>
      </c>
      <c r="O93" s="66" t="s">
        <v>229</v>
      </c>
      <c r="P93" s="66" t="s">
        <v>186</v>
      </c>
      <c r="Q93" s="66" t="s">
        <v>187</v>
      </c>
      <c r="R93" s="31" t="s">
        <v>230</v>
      </c>
      <c r="S93" s="66"/>
      <c r="T93" s="66"/>
      <c r="U93" s="66"/>
      <c r="AD93" s="9"/>
      <c r="AE93" s="9"/>
      <c r="AF93" s="9"/>
      <c r="AG93" s="9"/>
      <c r="AH93" s="9"/>
      <c r="AI93" s="9"/>
      <c r="AJ93" s="9"/>
      <c r="AK93" s="9"/>
      <c r="AL93" s="9"/>
      <c r="AM93" s="9"/>
      <c r="AN93" s="9"/>
    </row>
    <row r="94" spans="1:40" x14ac:dyDescent="0.25">
      <c r="A94" s="31" t="s">
        <v>111</v>
      </c>
      <c r="B94" s="31" t="s">
        <v>114</v>
      </c>
      <c r="C94" s="31" t="s">
        <v>112</v>
      </c>
      <c r="D94" s="31" t="s">
        <v>110</v>
      </c>
      <c r="E94" s="31" t="s">
        <v>109</v>
      </c>
      <c r="F94" s="31" t="s">
        <v>93</v>
      </c>
      <c r="G94" s="31"/>
      <c r="H94" s="31" t="s">
        <v>115</v>
      </c>
      <c r="I94" s="31">
        <v>1515000</v>
      </c>
      <c r="J94" s="31"/>
      <c r="K94" s="31"/>
      <c r="L94" s="66"/>
      <c r="M94" s="66"/>
      <c r="N94" s="101"/>
      <c r="O94" s="101"/>
      <c r="P94" s="101">
        <v>1515000</v>
      </c>
      <c r="Q94" s="101"/>
      <c r="R94" s="31"/>
      <c r="S94" s="101"/>
      <c r="T94" s="96"/>
      <c r="U94" s="66"/>
      <c r="AD94" s="9"/>
      <c r="AE94" s="9"/>
      <c r="AF94" s="9"/>
      <c r="AG94" s="9"/>
      <c r="AH94" s="9"/>
      <c r="AI94" s="9"/>
      <c r="AJ94" s="9"/>
      <c r="AK94" s="9"/>
      <c r="AL94" s="9"/>
      <c r="AM94" s="9"/>
      <c r="AN94" s="9"/>
    </row>
    <row r="95" spans="1:40" x14ac:dyDescent="0.25">
      <c r="A95" s="66" t="s">
        <v>111</v>
      </c>
      <c r="B95" s="66" t="s">
        <v>86</v>
      </c>
      <c r="C95" s="66" t="s">
        <v>116</v>
      </c>
      <c r="D95" s="66" t="s">
        <v>109</v>
      </c>
      <c r="E95" s="66" t="s">
        <v>88</v>
      </c>
      <c r="F95" s="66" t="s">
        <v>89</v>
      </c>
      <c r="G95" s="66" t="s">
        <v>117</v>
      </c>
      <c r="H95" s="66" t="s">
        <v>118</v>
      </c>
      <c r="I95" s="66">
        <v>-220000</v>
      </c>
      <c r="J95" s="66"/>
      <c r="K95" s="66">
        <v>-220000</v>
      </c>
      <c r="L95" s="66"/>
      <c r="M95" s="66"/>
      <c r="N95" s="101"/>
      <c r="O95" s="101"/>
      <c r="P95" s="101"/>
      <c r="Q95" s="101"/>
      <c r="R95" s="31"/>
      <c r="S95" s="101"/>
      <c r="T95" s="96"/>
      <c r="U95" s="66"/>
      <c r="AD95" s="9"/>
      <c r="AE95" s="9"/>
      <c r="AF95" s="9"/>
      <c r="AG95" s="9"/>
      <c r="AH95" s="9"/>
      <c r="AI95" s="9"/>
      <c r="AJ95" s="9"/>
      <c r="AK95" s="9"/>
      <c r="AL95" s="9"/>
      <c r="AM95" s="9"/>
      <c r="AN95" s="9"/>
    </row>
    <row r="96" spans="1:40" x14ac:dyDescent="0.25">
      <c r="A96" s="66" t="s">
        <v>111</v>
      </c>
      <c r="B96" s="66" t="s">
        <v>101</v>
      </c>
      <c r="C96" s="66" t="s">
        <v>119</v>
      </c>
      <c r="D96" s="66" t="s">
        <v>109</v>
      </c>
      <c r="E96" s="66" t="s">
        <v>88</v>
      </c>
      <c r="F96" s="66"/>
      <c r="G96" s="66"/>
      <c r="H96" s="66" t="s">
        <v>120</v>
      </c>
      <c r="I96" s="66">
        <v>-380000</v>
      </c>
      <c r="J96" s="66"/>
      <c r="K96" s="66">
        <v>-380000</v>
      </c>
      <c r="L96" s="66"/>
      <c r="M96" s="66"/>
      <c r="N96" s="101"/>
      <c r="O96" s="101"/>
      <c r="P96" s="101"/>
      <c r="Q96" s="101"/>
      <c r="R96" s="31"/>
      <c r="S96" s="101"/>
      <c r="T96" s="96"/>
      <c r="U96" s="66"/>
      <c r="AD96" s="9"/>
      <c r="AE96" s="9"/>
      <c r="AF96" s="9"/>
      <c r="AG96" s="9"/>
      <c r="AH96" s="9"/>
      <c r="AI96" s="9"/>
      <c r="AJ96" s="9"/>
      <c r="AK96" s="9"/>
      <c r="AL96" s="9"/>
      <c r="AM96" s="9"/>
      <c r="AN96" s="9"/>
    </row>
    <row r="97" spans="1:40" x14ac:dyDescent="0.25">
      <c r="A97" s="66" t="s">
        <v>106</v>
      </c>
      <c r="B97" s="66" t="s">
        <v>86</v>
      </c>
      <c r="C97" s="66" t="s">
        <v>121</v>
      </c>
      <c r="D97" s="66" t="s">
        <v>109</v>
      </c>
      <c r="E97" s="66" t="s">
        <v>88</v>
      </c>
      <c r="F97" s="66" t="s">
        <v>89</v>
      </c>
      <c r="G97" s="66" t="s">
        <v>117</v>
      </c>
      <c r="H97" s="66" t="s">
        <v>122</v>
      </c>
      <c r="I97" s="66">
        <v>-559770</v>
      </c>
      <c r="J97" s="66"/>
      <c r="K97" s="66">
        <v>-559770</v>
      </c>
      <c r="L97" s="66"/>
      <c r="M97" s="66"/>
      <c r="N97" s="101"/>
      <c r="O97" s="101"/>
      <c r="P97" s="101"/>
      <c r="Q97" s="101"/>
      <c r="R97" s="31"/>
      <c r="S97" s="101"/>
      <c r="T97" s="96"/>
      <c r="U97" s="66"/>
      <c r="V97" s="9"/>
      <c r="W97" s="9"/>
      <c r="X97" s="9"/>
      <c r="Y97" s="9"/>
      <c r="Z97" s="9"/>
      <c r="AA97" s="9"/>
      <c r="AB97" s="9"/>
      <c r="AC97" s="9"/>
      <c r="AD97" s="9"/>
      <c r="AE97" s="9"/>
      <c r="AF97" s="9"/>
      <c r="AG97" s="9"/>
      <c r="AH97" s="9"/>
      <c r="AI97" s="9"/>
      <c r="AJ97" s="9"/>
      <c r="AK97" s="9"/>
      <c r="AL97" s="9"/>
      <c r="AM97" s="9"/>
      <c r="AN97" s="9"/>
    </row>
    <row r="98" spans="1:40" x14ac:dyDescent="0.25">
      <c r="A98" s="66" t="s">
        <v>89</v>
      </c>
      <c r="B98" s="66" t="s">
        <v>95</v>
      </c>
      <c r="C98" s="66" t="s">
        <v>123</v>
      </c>
      <c r="D98" s="66" t="s">
        <v>109</v>
      </c>
      <c r="E98" s="66" t="s">
        <v>88</v>
      </c>
      <c r="F98" s="66" t="s">
        <v>96</v>
      </c>
      <c r="G98" s="66"/>
      <c r="H98" s="66" t="s">
        <v>124</v>
      </c>
      <c r="I98" s="66">
        <v>-10083.379999999999</v>
      </c>
      <c r="J98" s="66"/>
      <c r="K98" s="66">
        <v>0</v>
      </c>
      <c r="L98" s="66"/>
      <c r="M98" s="66"/>
      <c r="N98" s="101"/>
      <c r="O98" s="101"/>
      <c r="P98" s="101"/>
      <c r="Q98" s="101"/>
      <c r="R98" s="31"/>
      <c r="S98" s="101"/>
      <c r="T98" s="96"/>
      <c r="U98" s="66"/>
      <c r="V98" s="9"/>
      <c r="W98" s="9"/>
      <c r="X98" s="9"/>
      <c r="Y98" s="9"/>
      <c r="Z98" s="9"/>
      <c r="AA98" s="9"/>
      <c r="AB98" s="9"/>
      <c r="AC98" s="9"/>
      <c r="AD98" s="9"/>
      <c r="AE98" s="9"/>
      <c r="AF98" s="9"/>
      <c r="AG98" s="9"/>
      <c r="AH98" s="9"/>
      <c r="AI98" s="9"/>
      <c r="AJ98" s="9"/>
      <c r="AK98" s="9"/>
      <c r="AL98" s="9"/>
      <c r="AM98" s="9"/>
      <c r="AN98" s="9"/>
    </row>
    <row r="99" spans="1:40" x14ac:dyDescent="0.25">
      <c r="A99" s="66" t="s">
        <v>89</v>
      </c>
      <c r="B99" s="66" t="s">
        <v>114</v>
      </c>
      <c r="C99" s="66" t="s">
        <v>125</v>
      </c>
      <c r="D99" s="66" t="s">
        <v>91</v>
      </c>
      <c r="E99" s="66" t="s">
        <v>109</v>
      </c>
      <c r="F99" s="66" t="s">
        <v>93</v>
      </c>
      <c r="G99" s="66"/>
      <c r="H99" s="66" t="s">
        <v>126</v>
      </c>
      <c r="I99" s="66">
        <v>200000</v>
      </c>
      <c r="J99" s="66"/>
      <c r="K99" s="66"/>
      <c r="L99" s="66"/>
      <c r="M99" s="66"/>
      <c r="N99" s="101"/>
      <c r="O99" s="101"/>
      <c r="P99" s="101">
        <v>200000</v>
      </c>
      <c r="Q99" s="101"/>
      <c r="R99" s="31"/>
      <c r="S99" s="101"/>
      <c r="T99" s="96"/>
      <c r="U99" s="66"/>
      <c r="V99" s="9"/>
      <c r="W99" s="9"/>
      <c r="X99" s="9"/>
      <c r="Y99" s="9"/>
      <c r="Z99" s="9"/>
      <c r="AA99" s="9"/>
      <c r="AB99" s="9"/>
      <c r="AC99" s="9"/>
      <c r="AD99" s="9"/>
      <c r="AE99" s="9"/>
      <c r="AF99" s="9"/>
      <c r="AG99" s="9"/>
      <c r="AH99" s="9"/>
      <c r="AI99" s="9"/>
      <c r="AJ99" s="9"/>
      <c r="AK99" s="9"/>
      <c r="AL99" s="9"/>
      <c r="AM99" s="9"/>
      <c r="AN99" s="9"/>
    </row>
    <row r="100" spans="1:40" x14ac:dyDescent="0.25">
      <c r="A100" s="75" t="s">
        <v>89</v>
      </c>
      <c r="B100" s="75" t="s">
        <v>86</v>
      </c>
      <c r="C100" s="75" t="s">
        <v>127</v>
      </c>
      <c r="D100" s="75" t="s">
        <v>109</v>
      </c>
      <c r="E100" s="75" t="s">
        <v>88</v>
      </c>
      <c r="F100" s="75" t="s">
        <v>93</v>
      </c>
      <c r="G100" s="75"/>
      <c r="H100" s="75" t="s">
        <v>128</v>
      </c>
      <c r="I100" s="75">
        <v>-1515000</v>
      </c>
      <c r="J100" s="75"/>
      <c r="K100" s="75"/>
      <c r="L100" s="75"/>
      <c r="M100" s="75"/>
      <c r="N100" s="102"/>
      <c r="O100" s="102"/>
      <c r="P100" s="102">
        <v>-1515000</v>
      </c>
      <c r="Q100" s="102"/>
      <c r="S100" s="102"/>
      <c r="T100" s="97"/>
      <c r="U100" s="75"/>
      <c r="V100" s="9"/>
      <c r="W100" s="9"/>
      <c r="X100" s="9"/>
      <c r="Y100" s="9"/>
      <c r="Z100" s="9"/>
      <c r="AA100" s="9"/>
      <c r="AB100" s="9"/>
      <c r="AC100" s="9"/>
      <c r="AD100" s="9"/>
      <c r="AE100" s="9"/>
      <c r="AF100" s="9"/>
      <c r="AG100" s="9"/>
      <c r="AH100" s="9"/>
      <c r="AI100" s="9"/>
      <c r="AJ100" s="9"/>
      <c r="AK100" s="9"/>
      <c r="AL100" s="9"/>
      <c r="AM100" s="9"/>
      <c r="AN100" s="9"/>
    </row>
    <row r="101" spans="1:40" x14ac:dyDescent="0.25">
      <c r="A101" s="82" t="s">
        <v>89</v>
      </c>
      <c r="B101" s="82" t="s">
        <v>86</v>
      </c>
      <c r="C101" s="82" t="s">
        <v>129</v>
      </c>
      <c r="D101" s="82" t="s">
        <v>109</v>
      </c>
      <c r="E101" s="82" t="s">
        <v>88</v>
      </c>
      <c r="F101" s="82" t="s">
        <v>92</v>
      </c>
      <c r="G101" s="82" t="s">
        <v>130</v>
      </c>
      <c r="H101" s="82" t="s">
        <v>131</v>
      </c>
      <c r="I101" s="82">
        <v>-580186</v>
      </c>
      <c r="J101" s="82"/>
      <c r="K101" s="82"/>
      <c r="L101" s="82"/>
      <c r="M101" s="82"/>
      <c r="N101" s="102"/>
      <c r="O101" s="102"/>
      <c r="P101" s="102">
        <v>-580186</v>
      </c>
      <c r="Q101" s="102"/>
      <c r="S101" s="102"/>
      <c r="T101" s="97"/>
      <c r="U101" s="82"/>
      <c r="V101" s="9"/>
      <c r="W101" s="9"/>
      <c r="X101" s="9"/>
      <c r="Y101" s="9"/>
      <c r="Z101" s="9"/>
      <c r="AA101" s="9"/>
      <c r="AB101" s="9"/>
      <c r="AC101" s="9"/>
      <c r="AD101" s="9"/>
      <c r="AE101" s="9"/>
      <c r="AF101" s="9"/>
      <c r="AG101" s="9"/>
      <c r="AH101" s="9"/>
      <c r="AI101" s="9"/>
      <c r="AJ101" s="9"/>
      <c r="AK101" s="9"/>
      <c r="AL101" s="9"/>
      <c r="AM101" s="9"/>
      <c r="AN101" s="9"/>
    </row>
    <row r="102" spans="1:40" x14ac:dyDescent="0.25">
      <c r="A102" s="82" t="s">
        <v>89</v>
      </c>
      <c r="B102" s="82" t="s">
        <v>86</v>
      </c>
      <c r="C102" s="82" t="s">
        <v>132</v>
      </c>
      <c r="D102" s="82" t="s">
        <v>109</v>
      </c>
      <c r="E102" s="82" t="s">
        <v>108</v>
      </c>
      <c r="F102" s="82" t="s">
        <v>92</v>
      </c>
      <c r="G102" s="82" t="s">
        <v>133</v>
      </c>
      <c r="H102" s="82" t="s">
        <v>134</v>
      </c>
      <c r="I102" s="82">
        <v>-120639</v>
      </c>
      <c r="J102" s="82"/>
      <c r="K102" s="82">
        <v>-120639</v>
      </c>
      <c r="L102" s="82"/>
      <c r="M102" s="82"/>
      <c r="N102" s="102"/>
      <c r="O102" s="102"/>
      <c r="P102" s="102"/>
      <c r="Q102" s="102"/>
      <c r="S102" s="102"/>
      <c r="T102" s="97"/>
      <c r="U102" s="82"/>
      <c r="V102" s="9"/>
      <c r="W102" s="9"/>
      <c r="X102" s="9"/>
      <c r="Y102" s="9"/>
      <c r="Z102" s="9"/>
      <c r="AA102" s="9"/>
      <c r="AB102" s="9"/>
      <c r="AC102" s="9"/>
      <c r="AD102" s="9"/>
      <c r="AE102" s="9"/>
      <c r="AF102" s="9"/>
      <c r="AG102" s="9"/>
      <c r="AH102" s="9"/>
      <c r="AI102" s="9"/>
      <c r="AJ102" s="9"/>
      <c r="AK102" s="9"/>
      <c r="AL102" s="9"/>
      <c r="AM102" s="9"/>
      <c r="AN102" s="9"/>
    </row>
    <row r="103" spans="1:40" x14ac:dyDescent="0.25">
      <c r="A103" s="87" t="s">
        <v>89</v>
      </c>
      <c r="B103" s="87" t="s">
        <v>86</v>
      </c>
      <c r="C103" s="87" t="s">
        <v>135</v>
      </c>
      <c r="D103" s="87" t="s">
        <v>109</v>
      </c>
      <c r="E103" s="87" t="s">
        <v>88</v>
      </c>
      <c r="F103" s="87" t="s">
        <v>92</v>
      </c>
      <c r="G103" s="87" t="s">
        <v>136</v>
      </c>
      <c r="H103" s="87" t="s">
        <v>137</v>
      </c>
      <c r="I103" s="87">
        <v>-31179</v>
      </c>
      <c r="J103" s="87"/>
      <c r="K103" s="87"/>
      <c r="L103" s="87"/>
      <c r="M103" s="87"/>
      <c r="N103" s="102"/>
      <c r="O103" s="102"/>
      <c r="P103" s="102">
        <v>-31179</v>
      </c>
      <c r="Q103" s="102"/>
      <c r="S103" s="102"/>
      <c r="T103" s="97"/>
      <c r="U103" s="87"/>
      <c r="V103" s="9"/>
      <c r="W103" s="9"/>
      <c r="X103" s="9"/>
      <c r="Y103" s="9"/>
      <c r="Z103" s="9"/>
      <c r="AA103" s="9"/>
      <c r="AB103" s="9"/>
      <c r="AC103" s="9"/>
      <c r="AD103" s="9"/>
      <c r="AE103" s="9"/>
      <c r="AF103" s="9"/>
      <c r="AG103" s="9"/>
      <c r="AH103" s="9"/>
      <c r="AI103" s="9"/>
      <c r="AJ103" s="9"/>
      <c r="AK103" s="9"/>
      <c r="AL103" s="9"/>
      <c r="AM103" s="9"/>
      <c r="AN103" s="9"/>
    </row>
    <row r="104" spans="1:40" x14ac:dyDescent="0.25">
      <c r="A104" s="87" t="s">
        <v>89</v>
      </c>
      <c r="B104" s="87" t="s">
        <v>87</v>
      </c>
      <c r="C104" s="87" t="s">
        <v>121</v>
      </c>
      <c r="D104" s="87" t="s">
        <v>88</v>
      </c>
      <c r="E104" s="87" t="s">
        <v>109</v>
      </c>
      <c r="F104" s="87" t="s">
        <v>89</v>
      </c>
      <c r="G104" s="87" t="s">
        <v>117</v>
      </c>
      <c r="H104" s="87" t="s">
        <v>138</v>
      </c>
      <c r="I104" s="87">
        <v>559770</v>
      </c>
      <c r="J104" s="87"/>
      <c r="K104" s="87">
        <v>559770</v>
      </c>
      <c r="L104" s="87"/>
      <c r="M104" s="87"/>
      <c r="N104" s="102"/>
      <c r="O104" s="102"/>
      <c r="P104" s="102"/>
      <c r="Q104" s="102"/>
      <c r="S104" s="102"/>
      <c r="T104" s="97"/>
      <c r="U104" s="87"/>
      <c r="V104" s="9"/>
      <c r="W104" s="9"/>
      <c r="X104" s="9"/>
      <c r="Y104" s="9"/>
      <c r="Z104" s="9"/>
      <c r="AA104" s="9"/>
      <c r="AB104" s="9"/>
      <c r="AC104" s="9"/>
      <c r="AD104" s="9"/>
      <c r="AE104" s="9"/>
      <c r="AF104" s="9"/>
      <c r="AG104" s="9"/>
      <c r="AH104" s="9"/>
      <c r="AI104" s="9"/>
      <c r="AJ104" s="9"/>
      <c r="AK104" s="9"/>
      <c r="AL104" s="9"/>
      <c r="AM104" s="9"/>
      <c r="AN104" s="9"/>
    </row>
    <row r="105" spans="1:40" x14ac:dyDescent="0.25">
      <c r="A105" s="25" t="s">
        <v>89</v>
      </c>
      <c r="B105" s="25" t="s">
        <v>87</v>
      </c>
      <c r="C105" s="25" t="s">
        <v>116</v>
      </c>
      <c r="D105" s="25" t="s">
        <v>88</v>
      </c>
      <c r="E105" s="25" t="s">
        <v>109</v>
      </c>
      <c r="F105" s="25" t="s">
        <v>89</v>
      </c>
      <c r="G105" s="25" t="s">
        <v>117</v>
      </c>
      <c r="H105" s="25" t="s">
        <v>139</v>
      </c>
      <c r="I105" s="25">
        <v>220000</v>
      </c>
      <c r="K105" s="25">
        <v>220000</v>
      </c>
      <c r="N105" s="102"/>
      <c r="O105" s="102"/>
      <c r="P105" s="102"/>
      <c r="Q105" s="102"/>
      <c r="S105" s="102"/>
      <c r="T105" s="97"/>
      <c r="Z105" s="9"/>
      <c r="AA105" s="9"/>
      <c r="AB105" s="9"/>
      <c r="AC105" s="9"/>
      <c r="AD105" s="9"/>
      <c r="AE105" s="9"/>
      <c r="AF105" s="9"/>
      <c r="AG105" s="9"/>
      <c r="AH105" s="9"/>
      <c r="AI105" s="9"/>
      <c r="AJ105" s="9"/>
      <c r="AK105" s="9"/>
      <c r="AL105" s="9"/>
      <c r="AM105" s="9"/>
      <c r="AN105" s="9"/>
    </row>
    <row r="106" spans="1:40" x14ac:dyDescent="0.25">
      <c r="A106" s="25" t="s">
        <v>89</v>
      </c>
      <c r="B106" s="25" t="s">
        <v>105</v>
      </c>
      <c r="C106" s="25" t="s">
        <v>140</v>
      </c>
      <c r="D106" s="25" t="s">
        <v>141</v>
      </c>
      <c r="E106" s="25" t="s">
        <v>109</v>
      </c>
      <c r="H106" s="25" t="s">
        <v>142</v>
      </c>
      <c r="I106" s="25">
        <v>496377</v>
      </c>
      <c r="K106" s="25">
        <v>496377</v>
      </c>
      <c r="N106" s="102"/>
      <c r="O106" s="102"/>
      <c r="P106" s="102"/>
      <c r="Q106" s="102"/>
      <c r="S106" s="102"/>
      <c r="T106" s="97"/>
      <c r="Z106" s="9"/>
      <c r="AA106" s="9"/>
      <c r="AB106" s="9"/>
      <c r="AC106" s="9"/>
      <c r="AD106" s="9"/>
      <c r="AE106" s="9"/>
      <c r="AF106" s="9"/>
      <c r="AG106" s="9"/>
      <c r="AH106" s="9"/>
      <c r="AI106" s="9"/>
      <c r="AJ106" s="9"/>
      <c r="AK106" s="9"/>
      <c r="AL106" s="9"/>
      <c r="AM106" s="9"/>
      <c r="AN106" s="9"/>
    </row>
    <row r="107" spans="1:40" x14ac:dyDescent="0.25">
      <c r="A107" s="97" t="s">
        <v>89</v>
      </c>
      <c r="B107" s="97" t="s">
        <v>105</v>
      </c>
      <c r="C107" s="97" t="s">
        <v>143</v>
      </c>
      <c r="D107" s="97" t="s">
        <v>141</v>
      </c>
      <c r="E107" s="97" t="s">
        <v>109</v>
      </c>
      <c r="F107" s="97" t="s">
        <v>90</v>
      </c>
      <c r="G107" s="97"/>
      <c r="H107" s="97" t="s">
        <v>144</v>
      </c>
      <c r="I107" s="97">
        <v>289145</v>
      </c>
      <c r="J107" s="97"/>
      <c r="K107" s="97"/>
      <c r="L107" s="97"/>
      <c r="M107" s="97"/>
      <c r="N107" s="102"/>
      <c r="O107" s="102"/>
      <c r="P107" s="102">
        <v>289145</v>
      </c>
      <c r="Q107" s="102"/>
      <c r="S107" s="102"/>
      <c r="T107" s="97"/>
      <c r="Z107" s="9"/>
      <c r="AA107" s="9"/>
      <c r="AB107" s="9"/>
      <c r="AC107" s="9"/>
      <c r="AD107" s="9"/>
      <c r="AE107" s="9"/>
      <c r="AF107" s="9"/>
      <c r="AG107" s="9"/>
      <c r="AH107" s="9"/>
      <c r="AI107" s="9"/>
      <c r="AJ107" s="9"/>
      <c r="AK107" s="9"/>
      <c r="AL107" s="9"/>
      <c r="AM107" s="9"/>
      <c r="AN107" s="9"/>
    </row>
    <row r="108" spans="1:40" x14ac:dyDescent="0.25">
      <c r="A108" s="97" t="s">
        <v>89</v>
      </c>
      <c r="B108" s="97" t="s">
        <v>101</v>
      </c>
      <c r="C108" s="97" t="s">
        <v>182</v>
      </c>
      <c r="D108" s="97" t="s">
        <v>109</v>
      </c>
      <c r="E108" s="97" t="s">
        <v>88</v>
      </c>
      <c r="F108" s="97"/>
      <c r="G108" s="97" t="s">
        <v>183</v>
      </c>
      <c r="H108" s="97" t="s">
        <v>184</v>
      </c>
      <c r="I108" s="97">
        <v>-26312</v>
      </c>
      <c r="J108" s="97"/>
      <c r="K108" s="97"/>
      <c r="L108" s="97"/>
      <c r="M108" s="97"/>
      <c r="N108" s="102"/>
      <c r="O108" s="102"/>
      <c r="P108" s="102"/>
      <c r="Q108" s="102"/>
      <c r="S108" s="102"/>
      <c r="T108" s="66"/>
      <c r="U108" s="66"/>
      <c r="Z108" s="9"/>
      <c r="AA108" s="9"/>
      <c r="AB108" s="9"/>
      <c r="AC108" s="9"/>
      <c r="AD108" s="9"/>
      <c r="AE108" s="9"/>
      <c r="AF108" s="9"/>
      <c r="AG108" s="9"/>
      <c r="AH108" s="9"/>
      <c r="AI108" s="9"/>
      <c r="AJ108" s="9"/>
      <c r="AK108" s="9"/>
      <c r="AL108" s="9"/>
      <c r="AM108" s="9"/>
      <c r="AN108" s="9"/>
    </row>
    <row r="109" spans="1:40" x14ac:dyDescent="0.25">
      <c r="A109" s="97" t="s">
        <v>93</v>
      </c>
      <c r="B109" s="97" t="s">
        <v>114</v>
      </c>
      <c r="C109" s="97" t="s">
        <v>145</v>
      </c>
      <c r="D109" s="97" t="s">
        <v>107</v>
      </c>
      <c r="E109" s="97" t="s">
        <v>109</v>
      </c>
      <c r="F109" s="97" t="s">
        <v>98</v>
      </c>
      <c r="G109" s="97"/>
      <c r="H109" s="97" t="s">
        <v>146</v>
      </c>
      <c r="I109" s="97">
        <v>162000</v>
      </c>
      <c r="J109" s="97"/>
      <c r="K109" s="97">
        <v>162000</v>
      </c>
      <c r="L109" s="97"/>
      <c r="M109" s="97"/>
      <c r="N109" s="102"/>
      <c r="O109" s="102"/>
      <c r="P109" s="102"/>
      <c r="Q109" s="102"/>
      <c r="S109" s="102"/>
      <c r="Z109" s="9"/>
      <c r="AA109" s="9"/>
      <c r="AB109" s="9"/>
      <c r="AC109" s="9"/>
      <c r="AD109" s="9"/>
      <c r="AE109" s="9"/>
      <c r="AF109" s="9"/>
      <c r="AG109" s="9"/>
      <c r="AH109" s="9"/>
      <c r="AI109" s="9"/>
      <c r="AJ109" s="9"/>
      <c r="AK109" s="9"/>
      <c r="AL109" s="9"/>
      <c r="AM109" s="9"/>
      <c r="AN109" s="9"/>
    </row>
    <row r="110" spans="1:40" x14ac:dyDescent="0.25">
      <c r="A110" s="97" t="s">
        <v>93</v>
      </c>
      <c r="B110" s="97" t="s">
        <v>114</v>
      </c>
      <c r="C110" s="97" t="s">
        <v>147</v>
      </c>
      <c r="D110" s="97" t="s">
        <v>141</v>
      </c>
      <c r="E110" s="97" t="s">
        <v>109</v>
      </c>
      <c r="F110" s="97" t="s">
        <v>98</v>
      </c>
      <c r="G110" s="97"/>
      <c r="H110" s="97" t="s">
        <v>148</v>
      </c>
      <c r="I110" s="97">
        <v>156743</v>
      </c>
      <c r="J110" s="97"/>
      <c r="K110" s="97">
        <v>156743</v>
      </c>
      <c r="L110" s="97"/>
      <c r="M110" s="97"/>
      <c r="N110" s="102"/>
      <c r="O110" s="102"/>
      <c r="P110" s="102"/>
      <c r="Q110" s="102"/>
      <c r="S110" s="102"/>
      <c r="Z110" s="9"/>
      <c r="AA110" s="9"/>
      <c r="AB110" s="9"/>
      <c r="AC110" s="9"/>
      <c r="AD110" s="9"/>
      <c r="AE110" s="9"/>
      <c r="AF110" s="9"/>
      <c r="AG110" s="9"/>
      <c r="AH110" s="9"/>
      <c r="AI110" s="9"/>
      <c r="AJ110" s="9"/>
      <c r="AK110" s="9"/>
      <c r="AL110" s="9"/>
      <c r="AM110" s="9"/>
      <c r="AN110" s="9"/>
    </row>
    <row r="111" spans="1:40" x14ac:dyDescent="0.25">
      <c r="A111" s="97" t="s">
        <v>93</v>
      </c>
      <c r="B111" s="97" t="s">
        <v>86</v>
      </c>
      <c r="C111" s="97" t="s">
        <v>149</v>
      </c>
      <c r="D111" s="97" t="s">
        <v>109</v>
      </c>
      <c r="E111" s="97" t="s">
        <v>88</v>
      </c>
      <c r="F111" s="97" t="s">
        <v>92</v>
      </c>
      <c r="G111" s="97" t="s">
        <v>150</v>
      </c>
      <c r="H111" s="97" t="s">
        <v>118</v>
      </c>
      <c r="I111" s="97">
        <v>-600000</v>
      </c>
      <c r="J111" s="97"/>
      <c r="K111" s="97">
        <v>-600000</v>
      </c>
      <c r="L111" s="97"/>
      <c r="M111" s="97"/>
      <c r="N111" s="102"/>
      <c r="O111" s="102"/>
      <c r="P111" s="102"/>
      <c r="Q111" s="102"/>
      <c r="S111" s="102"/>
      <c r="Z111" s="9"/>
      <c r="AA111" s="9"/>
      <c r="AB111" s="9"/>
      <c r="AC111" s="9"/>
      <c r="AD111" s="9"/>
      <c r="AE111" s="9"/>
      <c r="AF111" s="9"/>
      <c r="AG111" s="9"/>
      <c r="AH111" s="9"/>
      <c r="AI111" s="9"/>
      <c r="AJ111" s="9"/>
      <c r="AK111" s="9"/>
      <c r="AL111" s="9"/>
      <c r="AM111" s="9"/>
      <c r="AN111" s="9"/>
    </row>
    <row r="112" spans="1:40" x14ac:dyDescent="0.25">
      <c r="A112" s="97" t="s">
        <v>93</v>
      </c>
      <c r="B112" s="97" t="s">
        <v>86</v>
      </c>
      <c r="C112" s="97" t="s">
        <v>151</v>
      </c>
      <c r="D112" s="97" t="s">
        <v>109</v>
      </c>
      <c r="E112" s="97" t="s">
        <v>91</v>
      </c>
      <c r="F112" s="97" t="s">
        <v>92</v>
      </c>
      <c r="G112" s="97" t="s">
        <v>152</v>
      </c>
      <c r="H112" s="97" t="s">
        <v>153</v>
      </c>
      <c r="I112" s="97">
        <v>-500000</v>
      </c>
      <c r="J112" s="97"/>
      <c r="K112" s="97"/>
      <c r="L112" s="97"/>
      <c r="M112" s="97"/>
      <c r="N112" s="102"/>
      <c r="O112" s="102"/>
      <c r="P112" s="102">
        <v>-500000</v>
      </c>
      <c r="Q112" s="102"/>
      <c r="S112" s="102"/>
      <c r="Z112" s="9"/>
      <c r="AA112" s="9"/>
      <c r="AB112" s="9"/>
      <c r="AC112" s="9"/>
      <c r="AD112" s="9"/>
      <c r="AE112" s="9"/>
      <c r="AF112" s="9"/>
      <c r="AG112" s="9"/>
      <c r="AH112" s="9"/>
      <c r="AI112" s="9"/>
      <c r="AJ112" s="9"/>
      <c r="AK112" s="9"/>
      <c r="AL112" s="9"/>
      <c r="AM112" s="9"/>
      <c r="AN112" s="9"/>
    </row>
    <row r="113" spans="1:40" x14ac:dyDescent="0.25">
      <c r="A113" s="97" t="s">
        <v>93</v>
      </c>
      <c r="B113" s="97" t="s">
        <v>86</v>
      </c>
      <c r="C113" s="97" t="s">
        <v>154</v>
      </c>
      <c r="D113" s="97" t="s">
        <v>109</v>
      </c>
      <c r="E113" s="97" t="s">
        <v>88</v>
      </c>
      <c r="F113" s="97" t="s">
        <v>92</v>
      </c>
      <c r="G113" s="97" t="s">
        <v>155</v>
      </c>
      <c r="H113" s="97" t="s">
        <v>156</v>
      </c>
      <c r="I113" s="97">
        <v>-35247.72</v>
      </c>
      <c r="J113" s="97"/>
      <c r="K113" s="97">
        <v>-35247.72</v>
      </c>
      <c r="L113" s="97"/>
      <c r="M113" s="97"/>
      <c r="N113" s="102"/>
      <c r="O113" s="102"/>
      <c r="P113" s="102"/>
      <c r="Q113" s="102"/>
      <c r="S113" s="102"/>
      <c r="Z113" s="9"/>
      <c r="AA113" s="9"/>
      <c r="AB113" s="9"/>
      <c r="AC113" s="9"/>
      <c r="AD113" s="9"/>
      <c r="AE113" s="9"/>
      <c r="AF113" s="9"/>
      <c r="AG113" s="9"/>
      <c r="AH113" s="9"/>
      <c r="AI113" s="9"/>
      <c r="AJ113" s="9"/>
      <c r="AK113" s="9"/>
      <c r="AL113" s="9"/>
      <c r="AM113" s="9"/>
      <c r="AN113" s="9"/>
    </row>
    <row r="114" spans="1:40" x14ac:dyDescent="0.25">
      <c r="A114" s="97" t="s">
        <v>93</v>
      </c>
      <c r="B114" s="97" t="s">
        <v>87</v>
      </c>
      <c r="C114" s="97" t="s">
        <v>127</v>
      </c>
      <c r="D114" s="97" t="s">
        <v>88</v>
      </c>
      <c r="E114" s="97" t="s">
        <v>109</v>
      </c>
      <c r="F114" s="97" t="s">
        <v>93</v>
      </c>
      <c r="G114" s="97"/>
      <c r="H114" s="97" t="s">
        <v>128</v>
      </c>
      <c r="I114" s="97">
        <v>1515000</v>
      </c>
      <c r="J114" s="97"/>
      <c r="K114" s="97"/>
      <c r="L114" s="97"/>
      <c r="M114" s="97"/>
      <c r="N114" s="102"/>
      <c r="O114" s="102"/>
      <c r="P114" s="102">
        <v>1515000</v>
      </c>
      <c r="Q114" s="102"/>
      <c r="S114" s="102"/>
      <c r="Z114" s="9"/>
      <c r="AA114" s="9"/>
      <c r="AB114" s="9"/>
      <c r="AC114" s="9"/>
      <c r="AD114" s="9"/>
      <c r="AE114" s="9"/>
      <c r="AF114" s="9"/>
      <c r="AG114" s="9"/>
      <c r="AH114" s="9"/>
      <c r="AI114" s="9"/>
      <c r="AJ114" s="9"/>
      <c r="AK114" s="9"/>
      <c r="AL114" s="9"/>
      <c r="AM114" s="9"/>
      <c r="AN114" s="9"/>
    </row>
    <row r="115" spans="1:40" x14ac:dyDescent="0.25">
      <c r="A115" s="97" t="s">
        <v>93</v>
      </c>
      <c r="B115" s="97" t="s">
        <v>157</v>
      </c>
      <c r="C115" s="97" t="s">
        <v>112</v>
      </c>
      <c r="D115" s="97" t="s">
        <v>109</v>
      </c>
      <c r="E115" s="97" t="s">
        <v>110</v>
      </c>
      <c r="F115" s="97"/>
      <c r="G115" s="97"/>
      <c r="H115" s="97" t="s">
        <v>158</v>
      </c>
      <c r="I115" s="97">
        <v>-1515000</v>
      </c>
      <c r="J115" s="97"/>
      <c r="K115" s="97"/>
      <c r="L115" s="97"/>
      <c r="M115" s="97"/>
      <c r="N115" s="102"/>
      <c r="O115" s="102"/>
      <c r="P115" s="102">
        <v>-1515000</v>
      </c>
      <c r="Q115" s="102"/>
      <c r="S115" s="102"/>
      <c r="Z115" s="9"/>
      <c r="AA115" s="9"/>
      <c r="AB115" s="9"/>
      <c r="AC115" s="9"/>
      <c r="AD115" s="9"/>
      <c r="AE115" s="9"/>
      <c r="AF115" s="9"/>
      <c r="AG115" s="9"/>
      <c r="AH115" s="9"/>
      <c r="AI115" s="9"/>
      <c r="AJ115" s="9"/>
      <c r="AK115" s="9"/>
      <c r="AL115" s="9"/>
      <c r="AM115" s="9"/>
      <c r="AN115" s="9"/>
    </row>
    <row r="116" spans="1:40" x14ac:dyDescent="0.25">
      <c r="A116" s="97" t="s">
        <v>93</v>
      </c>
      <c r="B116" s="97" t="s">
        <v>157</v>
      </c>
      <c r="C116" s="97" t="s">
        <v>125</v>
      </c>
      <c r="D116" s="97" t="s">
        <v>109</v>
      </c>
      <c r="E116" s="97" t="s">
        <v>91</v>
      </c>
      <c r="F116" s="97" t="s">
        <v>93</v>
      </c>
      <c r="G116" s="97"/>
      <c r="H116" s="97" t="s">
        <v>126</v>
      </c>
      <c r="I116" s="97">
        <v>-200000</v>
      </c>
      <c r="J116" s="97"/>
      <c r="K116" s="97"/>
      <c r="L116" s="97"/>
      <c r="M116" s="97"/>
      <c r="N116" s="102"/>
      <c r="O116" s="102"/>
      <c r="P116" s="102">
        <v>-200000</v>
      </c>
      <c r="Q116" s="102"/>
      <c r="S116" s="102"/>
      <c r="Z116" s="9"/>
      <c r="AA116" s="9"/>
      <c r="AB116" s="9"/>
      <c r="AC116" s="9"/>
      <c r="AD116" s="9"/>
      <c r="AE116" s="9"/>
      <c r="AF116" s="9"/>
      <c r="AG116" s="9"/>
      <c r="AH116" s="9"/>
      <c r="AI116" s="9"/>
      <c r="AJ116" s="9"/>
      <c r="AK116" s="9"/>
      <c r="AL116" s="9"/>
      <c r="AM116" s="9"/>
      <c r="AN116" s="9"/>
    </row>
    <row r="117" spans="1:40" x14ac:dyDescent="0.25">
      <c r="A117" s="97" t="s">
        <v>93</v>
      </c>
      <c r="B117" s="97" t="s">
        <v>105</v>
      </c>
      <c r="C117" s="97" t="s">
        <v>143</v>
      </c>
      <c r="D117" s="97" t="s">
        <v>141</v>
      </c>
      <c r="E117" s="97" t="s">
        <v>109</v>
      </c>
      <c r="F117" s="97" t="s">
        <v>90</v>
      </c>
      <c r="G117" s="97"/>
      <c r="H117" s="97" t="s">
        <v>159</v>
      </c>
      <c r="I117" s="97">
        <v>289145</v>
      </c>
      <c r="J117" s="97"/>
      <c r="K117" s="97"/>
      <c r="L117" s="97"/>
      <c r="M117" s="97"/>
      <c r="N117" s="102"/>
      <c r="O117" s="102"/>
      <c r="P117" s="102">
        <v>289145</v>
      </c>
      <c r="Q117" s="102"/>
      <c r="S117" s="102"/>
      <c r="AD117" s="9"/>
      <c r="AE117" s="9"/>
      <c r="AF117" s="9"/>
      <c r="AG117" s="9"/>
      <c r="AH117" s="9"/>
      <c r="AI117" s="9"/>
      <c r="AJ117" s="9"/>
      <c r="AK117" s="9"/>
      <c r="AL117" s="9"/>
      <c r="AM117" s="9"/>
      <c r="AN117" s="9"/>
    </row>
    <row r="118" spans="1:40" x14ac:dyDescent="0.25">
      <c r="A118" s="99" t="s">
        <v>92</v>
      </c>
      <c r="B118" s="99" t="s">
        <v>114</v>
      </c>
      <c r="C118" s="99" t="s">
        <v>160</v>
      </c>
      <c r="D118" s="99" t="s">
        <v>88</v>
      </c>
      <c r="E118" s="99" t="s">
        <v>109</v>
      </c>
      <c r="F118" s="99" t="s">
        <v>161</v>
      </c>
      <c r="G118" s="99" t="s">
        <v>155</v>
      </c>
      <c r="H118" s="99" t="s">
        <v>162</v>
      </c>
      <c r="I118" s="99">
        <v>364793</v>
      </c>
      <c r="J118" s="99"/>
      <c r="K118" s="99">
        <v>364793</v>
      </c>
      <c r="L118" s="99"/>
      <c r="M118" s="99"/>
      <c r="N118" s="102"/>
      <c r="O118" s="102"/>
      <c r="P118" s="102"/>
      <c r="Q118" s="102"/>
      <c r="S118" s="102"/>
      <c r="AD118" s="9"/>
      <c r="AE118" s="9"/>
      <c r="AF118" s="9"/>
      <c r="AG118" s="9"/>
      <c r="AH118" s="9"/>
      <c r="AI118" s="9"/>
      <c r="AJ118" s="9"/>
      <c r="AK118" s="9"/>
      <c r="AL118" s="9"/>
      <c r="AM118" s="9"/>
      <c r="AN118" s="9"/>
    </row>
    <row r="119" spans="1:40" x14ac:dyDescent="0.25">
      <c r="A119" s="99" t="s">
        <v>92</v>
      </c>
      <c r="B119" s="99" t="s">
        <v>114</v>
      </c>
      <c r="C119" s="99" t="s">
        <v>163</v>
      </c>
      <c r="D119" s="99" t="s">
        <v>88</v>
      </c>
      <c r="E119" s="99" t="s">
        <v>109</v>
      </c>
      <c r="F119" s="99" t="s">
        <v>97</v>
      </c>
      <c r="G119" s="99" t="s">
        <v>164</v>
      </c>
      <c r="H119" s="99" t="s">
        <v>165</v>
      </c>
      <c r="I119" s="99">
        <v>319592</v>
      </c>
      <c r="J119" s="99"/>
      <c r="K119" s="99"/>
      <c r="L119" s="99"/>
      <c r="M119" s="99"/>
      <c r="N119" s="102"/>
      <c r="O119" s="102"/>
      <c r="P119" s="102">
        <v>319592</v>
      </c>
      <c r="Q119" s="102"/>
      <c r="S119" s="102"/>
      <c r="AD119" s="9"/>
      <c r="AE119" s="9"/>
      <c r="AF119" s="9"/>
      <c r="AG119" s="9"/>
      <c r="AH119" s="9"/>
      <c r="AI119" s="9"/>
      <c r="AJ119" s="9"/>
      <c r="AK119" s="9"/>
      <c r="AL119" s="9"/>
      <c r="AM119" s="9"/>
      <c r="AN119" s="9"/>
    </row>
    <row r="120" spans="1:40" x14ac:dyDescent="0.25">
      <c r="A120" s="99" t="s">
        <v>92</v>
      </c>
      <c r="B120" s="99" t="s">
        <v>86</v>
      </c>
      <c r="C120" s="99" t="s">
        <v>166</v>
      </c>
      <c r="D120" s="99" t="s">
        <v>109</v>
      </c>
      <c r="E120" s="99" t="s">
        <v>88</v>
      </c>
      <c r="F120" s="99" t="s">
        <v>90</v>
      </c>
      <c r="G120" s="99"/>
      <c r="H120" s="99" t="s">
        <v>167</v>
      </c>
      <c r="I120" s="99">
        <v>-344098.48</v>
      </c>
      <c r="J120" s="99"/>
      <c r="K120" s="99">
        <v>-42536.67</v>
      </c>
      <c r="L120" s="99"/>
      <c r="M120" s="99"/>
      <c r="N120" s="102"/>
      <c r="O120" s="102"/>
      <c r="P120" s="102">
        <v>-301561.81</v>
      </c>
      <c r="Q120" s="102"/>
      <c r="S120" s="102"/>
      <c r="AD120" s="9"/>
      <c r="AE120" s="9"/>
      <c r="AF120" s="9"/>
      <c r="AG120" s="9"/>
      <c r="AH120" s="9"/>
      <c r="AI120" s="9"/>
      <c r="AJ120" s="9"/>
      <c r="AK120" s="9"/>
      <c r="AL120" s="9"/>
      <c r="AM120" s="9"/>
      <c r="AN120" s="9"/>
    </row>
    <row r="121" spans="1:40" x14ac:dyDescent="0.25">
      <c r="A121" s="99" t="s">
        <v>92</v>
      </c>
      <c r="B121" s="99" t="s">
        <v>87</v>
      </c>
      <c r="C121" s="99" t="s">
        <v>149</v>
      </c>
      <c r="D121" s="99" t="s">
        <v>88</v>
      </c>
      <c r="E121" s="99" t="s">
        <v>109</v>
      </c>
      <c r="F121" s="99" t="s">
        <v>92</v>
      </c>
      <c r="G121" s="99" t="s">
        <v>150</v>
      </c>
      <c r="H121" s="99" t="s">
        <v>168</v>
      </c>
      <c r="I121" s="99">
        <v>600000</v>
      </c>
      <c r="J121" s="99"/>
      <c r="K121" s="99">
        <v>600000</v>
      </c>
      <c r="L121" s="99"/>
      <c r="M121" s="99"/>
      <c r="N121" s="102"/>
      <c r="O121" s="102"/>
      <c r="P121" s="102"/>
      <c r="Q121" s="102"/>
      <c r="S121" s="102"/>
      <c r="AD121" s="9"/>
      <c r="AE121" s="9"/>
      <c r="AF121" s="9"/>
      <c r="AG121" s="9"/>
      <c r="AH121" s="9"/>
      <c r="AI121" s="9"/>
      <c r="AJ121" s="9"/>
      <c r="AK121" s="9"/>
      <c r="AL121" s="9"/>
      <c r="AM121" s="9"/>
      <c r="AN121" s="9"/>
    </row>
    <row r="122" spans="1:40" x14ac:dyDescent="0.25">
      <c r="A122" s="99" t="s">
        <v>92</v>
      </c>
      <c r="B122" s="99" t="s">
        <v>87</v>
      </c>
      <c r="C122" s="99" t="s">
        <v>151</v>
      </c>
      <c r="D122" s="99" t="s">
        <v>91</v>
      </c>
      <c r="E122" s="99" t="s">
        <v>109</v>
      </c>
      <c r="F122" s="99" t="s">
        <v>92</v>
      </c>
      <c r="G122" s="99" t="s">
        <v>152</v>
      </c>
      <c r="H122" s="99" t="s">
        <v>153</v>
      </c>
      <c r="I122" s="99">
        <v>500000</v>
      </c>
      <c r="J122" s="99"/>
      <c r="K122" s="99"/>
      <c r="L122" s="99"/>
      <c r="M122" s="99"/>
      <c r="N122" s="102"/>
      <c r="O122" s="102"/>
      <c r="P122" s="102">
        <v>500000</v>
      </c>
      <c r="Q122" s="102"/>
      <c r="S122" s="102"/>
      <c r="AD122" s="9"/>
      <c r="AE122" s="9"/>
      <c r="AF122" s="9"/>
      <c r="AG122" s="9"/>
      <c r="AH122" s="9"/>
      <c r="AI122" s="9"/>
      <c r="AJ122" s="9"/>
      <c r="AK122" s="9"/>
      <c r="AL122" s="9"/>
      <c r="AM122" s="9"/>
      <c r="AN122" s="9"/>
    </row>
    <row r="123" spans="1:40" x14ac:dyDescent="0.25">
      <c r="A123" s="99" t="s">
        <v>92</v>
      </c>
      <c r="B123" s="99" t="s">
        <v>87</v>
      </c>
      <c r="C123" s="99" t="s">
        <v>129</v>
      </c>
      <c r="D123" s="99" t="s">
        <v>88</v>
      </c>
      <c r="E123" s="99" t="s">
        <v>109</v>
      </c>
      <c r="F123" s="99"/>
      <c r="G123" s="99" t="s">
        <v>130</v>
      </c>
      <c r="H123" s="99" t="s">
        <v>169</v>
      </c>
      <c r="I123" s="99">
        <v>580186</v>
      </c>
      <c r="J123" s="99"/>
      <c r="K123" s="99"/>
      <c r="L123" s="99"/>
      <c r="M123" s="99"/>
      <c r="N123" s="102"/>
      <c r="O123" s="102"/>
      <c r="P123" s="102">
        <v>580186</v>
      </c>
      <c r="Q123" s="102"/>
      <c r="S123" s="102"/>
      <c r="AD123" s="9"/>
      <c r="AE123" s="9"/>
      <c r="AF123" s="9"/>
      <c r="AG123" s="9"/>
      <c r="AH123" s="9"/>
      <c r="AI123" s="9"/>
      <c r="AJ123" s="9"/>
      <c r="AK123" s="9"/>
      <c r="AL123" s="9"/>
      <c r="AM123" s="9"/>
      <c r="AN123" s="9"/>
    </row>
    <row r="124" spans="1:40" x14ac:dyDescent="0.25">
      <c r="A124" s="99" t="s">
        <v>92</v>
      </c>
      <c r="B124" s="99" t="s">
        <v>87</v>
      </c>
      <c r="C124" s="99" t="s">
        <v>132</v>
      </c>
      <c r="D124" s="99" t="s">
        <v>108</v>
      </c>
      <c r="E124" s="99" t="s">
        <v>109</v>
      </c>
      <c r="F124" s="99"/>
      <c r="G124" s="99" t="s">
        <v>133</v>
      </c>
      <c r="H124" s="99" t="s">
        <v>170</v>
      </c>
      <c r="I124" s="99">
        <v>120639</v>
      </c>
      <c r="J124" s="99"/>
      <c r="K124" s="99">
        <v>120639</v>
      </c>
      <c r="L124" s="99"/>
      <c r="M124" s="99"/>
      <c r="N124" s="102"/>
      <c r="O124" s="102"/>
      <c r="P124" s="102"/>
      <c r="Q124" s="102"/>
      <c r="S124" s="102"/>
      <c r="AD124" s="9"/>
      <c r="AE124" s="9"/>
      <c r="AF124" s="9"/>
      <c r="AG124" s="9"/>
      <c r="AH124" s="9"/>
      <c r="AI124" s="9"/>
      <c r="AJ124" s="9"/>
      <c r="AK124" s="9"/>
      <c r="AL124" s="9"/>
      <c r="AM124" s="9"/>
      <c r="AN124" s="9"/>
    </row>
    <row r="125" spans="1:40" x14ac:dyDescent="0.25">
      <c r="A125" s="99" t="s">
        <v>92</v>
      </c>
      <c r="B125" s="99" t="s">
        <v>87</v>
      </c>
      <c r="C125" s="99" t="s">
        <v>135</v>
      </c>
      <c r="D125" s="99" t="s">
        <v>88</v>
      </c>
      <c r="E125" s="99" t="s">
        <v>109</v>
      </c>
      <c r="F125" s="99"/>
      <c r="G125" s="99" t="s">
        <v>136</v>
      </c>
      <c r="H125" s="99" t="s">
        <v>137</v>
      </c>
      <c r="I125" s="99">
        <v>31179</v>
      </c>
      <c r="J125" s="99"/>
      <c r="K125" s="99"/>
      <c r="L125" s="99"/>
      <c r="M125" s="99"/>
      <c r="N125" s="102"/>
      <c r="O125" s="102"/>
      <c r="P125" s="102">
        <v>31179</v>
      </c>
      <c r="Q125" s="102"/>
      <c r="S125" s="102"/>
      <c r="AD125" s="9"/>
      <c r="AE125" s="9"/>
      <c r="AF125" s="9"/>
      <c r="AG125" s="9"/>
      <c r="AH125" s="9"/>
      <c r="AI125" s="9"/>
      <c r="AJ125" s="9"/>
      <c r="AK125" s="9"/>
      <c r="AL125" s="9"/>
      <c r="AM125" s="9"/>
      <c r="AN125" s="9"/>
    </row>
    <row r="126" spans="1:40" x14ac:dyDescent="0.25">
      <c r="A126" s="99" t="s">
        <v>92</v>
      </c>
      <c r="B126" s="99" t="s">
        <v>87</v>
      </c>
      <c r="C126" s="99" t="s">
        <v>154</v>
      </c>
      <c r="D126" s="99" t="s">
        <v>88</v>
      </c>
      <c r="E126" s="99" t="s">
        <v>109</v>
      </c>
      <c r="F126" s="99" t="s">
        <v>92</v>
      </c>
      <c r="G126" s="99" t="s">
        <v>155</v>
      </c>
      <c r="H126" s="99" t="s">
        <v>156</v>
      </c>
      <c r="I126" s="99">
        <v>35247.72</v>
      </c>
      <c r="J126" s="99"/>
      <c r="K126" s="99">
        <v>35247.72</v>
      </c>
      <c r="L126" s="99"/>
      <c r="M126" s="99"/>
      <c r="N126" s="102"/>
      <c r="O126" s="102"/>
      <c r="P126" s="102"/>
      <c r="Q126" s="102"/>
      <c r="S126" s="102"/>
      <c r="AD126" s="9"/>
      <c r="AE126" s="9"/>
      <c r="AF126" s="9"/>
      <c r="AG126" s="9"/>
      <c r="AH126" s="9"/>
      <c r="AI126" s="9"/>
      <c r="AJ126" s="9"/>
      <c r="AK126" s="9"/>
      <c r="AL126" s="9"/>
      <c r="AM126" s="9"/>
      <c r="AN126" s="9"/>
    </row>
    <row r="127" spans="1:40" x14ac:dyDescent="0.25">
      <c r="A127" s="99" t="s">
        <v>92</v>
      </c>
      <c r="B127" s="99" t="s">
        <v>105</v>
      </c>
      <c r="C127" s="99" t="s">
        <v>143</v>
      </c>
      <c r="D127" s="99" t="s">
        <v>141</v>
      </c>
      <c r="E127" s="99" t="s">
        <v>109</v>
      </c>
      <c r="F127" s="99" t="s">
        <v>90</v>
      </c>
      <c r="G127" s="99"/>
      <c r="H127" s="99" t="s">
        <v>171</v>
      </c>
      <c r="I127" s="99">
        <v>289145</v>
      </c>
      <c r="J127" s="99"/>
      <c r="K127" s="99"/>
      <c r="L127" s="99"/>
      <c r="M127" s="99"/>
      <c r="N127" s="102"/>
      <c r="O127" s="102"/>
      <c r="P127" s="102">
        <v>289145</v>
      </c>
      <c r="Q127" s="102"/>
      <c r="S127" s="102"/>
      <c r="AD127" s="9"/>
      <c r="AE127" s="9"/>
      <c r="AF127" s="9"/>
      <c r="AG127" s="9"/>
      <c r="AH127" s="9"/>
      <c r="AI127" s="9"/>
      <c r="AJ127" s="9"/>
      <c r="AK127" s="9"/>
      <c r="AL127" s="9"/>
      <c r="AM127" s="9"/>
      <c r="AN127" s="9"/>
    </row>
    <row r="128" spans="1:40" x14ac:dyDescent="0.25">
      <c r="A128" s="99" t="s">
        <v>97</v>
      </c>
      <c r="B128" s="99" t="s">
        <v>86</v>
      </c>
      <c r="C128" s="99" t="s">
        <v>172</v>
      </c>
      <c r="D128" s="99" t="s">
        <v>109</v>
      </c>
      <c r="E128" s="99" t="s">
        <v>88</v>
      </c>
      <c r="F128" s="99" t="s">
        <v>98</v>
      </c>
      <c r="G128" s="99" t="s">
        <v>173</v>
      </c>
      <c r="H128" s="99" t="s">
        <v>174</v>
      </c>
      <c r="I128" s="99">
        <v>-252000</v>
      </c>
      <c r="J128" s="99"/>
      <c r="K128" s="99"/>
      <c r="L128" s="99"/>
      <c r="M128" s="99"/>
      <c r="N128" s="102"/>
      <c r="O128" s="102"/>
      <c r="P128" s="102">
        <v>-252000</v>
      </c>
      <c r="Q128" s="102"/>
      <c r="S128" s="102"/>
      <c r="AD128" s="9"/>
      <c r="AE128" s="9"/>
      <c r="AF128" s="9"/>
      <c r="AG128" s="9"/>
      <c r="AH128" s="9"/>
      <c r="AI128" s="9"/>
      <c r="AJ128" s="9"/>
      <c r="AK128" s="9"/>
      <c r="AL128" s="9"/>
      <c r="AM128" s="9"/>
      <c r="AN128" s="9"/>
    </row>
    <row r="129" spans="1:40" x14ac:dyDescent="0.25">
      <c r="A129" s="99" t="s">
        <v>97</v>
      </c>
      <c r="B129" s="99" t="s">
        <v>86</v>
      </c>
      <c r="C129" s="99" t="s">
        <v>172</v>
      </c>
      <c r="D129" s="99" t="s">
        <v>109</v>
      </c>
      <c r="E129" s="99" t="s">
        <v>88</v>
      </c>
      <c r="F129" s="99" t="s">
        <v>98</v>
      </c>
      <c r="G129" s="99" t="s">
        <v>175</v>
      </c>
      <c r="H129" s="99" t="s">
        <v>156</v>
      </c>
      <c r="I129" s="99">
        <v>-150000</v>
      </c>
      <c r="J129" s="99"/>
      <c r="K129" s="99">
        <v>-150000</v>
      </c>
      <c r="L129" s="99"/>
      <c r="M129" s="99"/>
      <c r="N129" s="102"/>
      <c r="O129" s="102"/>
      <c r="P129" s="102"/>
      <c r="Q129" s="102"/>
      <c r="S129" s="102"/>
      <c r="AD129" s="9"/>
      <c r="AE129" s="9"/>
      <c r="AF129" s="9"/>
      <c r="AG129" s="9"/>
      <c r="AH129" s="9"/>
      <c r="AI129" s="9"/>
      <c r="AJ129" s="9"/>
      <c r="AK129" s="9"/>
      <c r="AL129" s="9"/>
      <c r="AM129" s="9"/>
      <c r="AN129" s="9"/>
    </row>
    <row r="130" spans="1:40" x14ac:dyDescent="0.25">
      <c r="A130" s="99" t="s">
        <v>97</v>
      </c>
      <c r="B130" s="99" t="s">
        <v>86</v>
      </c>
      <c r="C130" s="99" t="s">
        <v>172</v>
      </c>
      <c r="D130" s="99" t="s">
        <v>109</v>
      </c>
      <c r="E130" s="99" t="s">
        <v>88</v>
      </c>
      <c r="F130" s="99" t="s">
        <v>98</v>
      </c>
      <c r="G130" s="99" t="s">
        <v>176</v>
      </c>
      <c r="H130" s="99" t="s">
        <v>156</v>
      </c>
      <c r="I130" s="99">
        <v>-165000</v>
      </c>
      <c r="J130" s="99"/>
      <c r="K130" s="99">
        <v>-165000</v>
      </c>
      <c r="L130" s="99"/>
      <c r="M130" s="99"/>
      <c r="N130" s="102"/>
      <c r="O130" s="102"/>
      <c r="P130" s="102"/>
      <c r="Q130" s="102"/>
      <c r="S130" s="102"/>
      <c r="AD130" s="9"/>
      <c r="AE130" s="9"/>
      <c r="AF130" s="9"/>
      <c r="AG130" s="9"/>
      <c r="AH130" s="9"/>
      <c r="AI130" s="9"/>
      <c r="AJ130" s="9"/>
      <c r="AK130" s="9"/>
      <c r="AL130" s="9"/>
      <c r="AM130" s="9"/>
      <c r="AN130" s="9"/>
    </row>
    <row r="131" spans="1:40" x14ac:dyDescent="0.25">
      <c r="A131" s="99" t="s">
        <v>97</v>
      </c>
      <c r="B131" s="99" t="s">
        <v>86</v>
      </c>
      <c r="C131" s="99" t="s">
        <v>172</v>
      </c>
      <c r="D131" s="99" t="s">
        <v>109</v>
      </c>
      <c r="E131" s="99" t="s">
        <v>88</v>
      </c>
      <c r="F131" s="99" t="s">
        <v>90</v>
      </c>
      <c r="G131" s="99" t="s">
        <v>173</v>
      </c>
      <c r="H131" s="99" t="s">
        <v>174</v>
      </c>
      <c r="I131" s="99">
        <v>-295160</v>
      </c>
      <c r="J131" s="99"/>
      <c r="K131" s="99"/>
      <c r="L131" s="99"/>
      <c r="M131" s="99"/>
      <c r="N131" s="102"/>
      <c r="O131" s="102"/>
      <c r="P131" s="102">
        <v>-295160</v>
      </c>
      <c r="Q131" s="102"/>
      <c r="S131" s="102"/>
      <c r="AD131" s="9"/>
      <c r="AE131" s="9"/>
      <c r="AF131" s="9"/>
      <c r="AG131" s="9"/>
      <c r="AH131" s="9"/>
      <c r="AI131" s="9"/>
      <c r="AJ131" s="9"/>
      <c r="AK131" s="9"/>
      <c r="AL131" s="9"/>
      <c r="AM131" s="9"/>
      <c r="AN131" s="9"/>
    </row>
    <row r="132" spans="1:40" x14ac:dyDescent="0.25">
      <c r="A132" s="99" t="s">
        <v>97</v>
      </c>
      <c r="B132" s="99" t="s">
        <v>157</v>
      </c>
      <c r="C132" s="99" t="s">
        <v>160</v>
      </c>
      <c r="D132" s="99" t="s">
        <v>109</v>
      </c>
      <c r="E132" s="99" t="s">
        <v>88</v>
      </c>
      <c r="F132" s="99" t="s">
        <v>161</v>
      </c>
      <c r="G132" s="99" t="s">
        <v>155</v>
      </c>
      <c r="H132" s="99" t="s">
        <v>162</v>
      </c>
      <c r="I132" s="99">
        <v>-198252</v>
      </c>
      <c r="J132" s="99"/>
      <c r="K132" s="99"/>
      <c r="L132" s="99"/>
      <c r="M132" s="99"/>
      <c r="N132" s="102"/>
      <c r="O132" s="102"/>
      <c r="P132" s="102">
        <v>-198252</v>
      </c>
      <c r="Q132" s="102"/>
      <c r="S132" s="102"/>
      <c r="AD132" s="9"/>
      <c r="AE132" s="9"/>
      <c r="AF132" s="9"/>
      <c r="AG132" s="9"/>
      <c r="AH132" s="9"/>
      <c r="AI132" s="9"/>
      <c r="AJ132" s="9"/>
      <c r="AK132" s="9"/>
      <c r="AL132" s="9"/>
      <c r="AM132" s="9"/>
      <c r="AN132" s="9"/>
    </row>
    <row r="133" spans="1:40" x14ac:dyDescent="0.25">
      <c r="A133" s="25" t="s">
        <v>97</v>
      </c>
      <c r="B133" s="25" t="s">
        <v>157</v>
      </c>
      <c r="C133" s="25" t="s">
        <v>163</v>
      </c>
      <c r="D133" s="25" t="s">
        <v>109</v>
      </c>
      <c r="E133" s="25" t="s">
        <v>88</v>
      </c>
      <c r="F133" s="25" t="s">
        <v>97</v>
      </c>
      <c r="G133" s="25" t="s">
        <v>164</v>
      </c>
      <c r="H133" s="25" t="s">
        <v>165</v>
      </c>
      <c r="I133" s="25">
        <v>-319592</v>
      </c>
      <c r="N133" s="102"/>
      <c r="O133" s="102"/>
      <c r="P133" s="102">
        <v>-319592</v>
      </c>
      <c r="Q133" s="102"/>
      <c r="S133" s="102"/>
      <c r="AD133" s="9"/>
      <c r="AE133" s="9"/>
      <c r="AF133" s="9"/>
      <c r="AG133" s="9"/>
      <c r="AH133" s="9"/>
      <c r="AI133" s="9"/>
      <c r="AJ133" s="9"/>
      <c r="AK133" s="9"/>
      <c r="AL133" s="9"/>
      <c r="AM133" s="9"/>
      <c r="AN133" s="9"/>
    </row>
    <row r="134" spans="1:40" x14ac:dyDescent="0.25">
      <c r="A134" s="25" t="s">
        <v>97</v>
      </c>
      <c r="B134" s="25" t="s">
        <v>105</v>
      </c>
      <c r="C134" s="25" t="s">
        <v>143</v>
      </c>
      <c r="D134" s="25" t="s">
        <v>141</v>
      </c>
      <c r="E134" s="25" t="s">
        <v>109</v>
      </c>
      <c r="F134" s="25" t="s">
        <v>90</v>
      </c>
      <c r="H134" s="25" t="s">
        <v>177</v>
      </c>
      <c r="I134" s="25">
        <v>289145</v>
      </c>
      <c r="N134" s="102"/>
      <c r="O134" s="102"/>
      <c r="P134" s="102">
        <v>289145</v>
      </c>
      <c r="Q134" s="102"/>
      <c r="S134" s="102"/>
      <c r="AD134" s="9"/>
      <c r="AE134" s="9"/>
      <c r="AF134" s="9"/>
      <c r="AG134" s="9"/>
      <c r="AH134" s="9"/>
      <c r="AI134" s="9"/>
      <c r="AJ134" s="9"/>
      <c r="AK134" s="9"/>
      <c r="AL134" s="9"/>
      <c r="AM134" s="9"/>
      <c r="AN134" s="9"/>
    </row>
    <row r="135" spans="1:40" x14ac:dyDescent="0.25">
      <c r="A135" s="25" t="s">
        <v>98</v>
      </c>
      <c r="B135" s="25" t="s">
        <v>86</v>
      </c>
      <c r="C135" s="25" t="s">
        <v>191</v>
      </c>
      <c r="D135" s="25" t="s">
        <v>109</v>
      </c>
      <c r="E135" s="25" t="s">
        <v>88</v>
      </c>
      <c r="F135" s="25" t="s">
        <v>90</v>
      </c>
      <c r="G135" s="25" t="s">
        <v>192</v>
      </c>
      <c r="H135" s="25" t="s">
        <v>193</v>
      </c>
      <c r="I135" s="25">
        <v>-126293.53</v>
      </c>
      <c r="K135" s="25">
        <v>-126293.53</v>
      </c>
      <c r="N135" s="102"/>
      <c r="O135" s="102"/>
      <c r="P135" s="102"/>
      <c r="Q135" s="102"/>
      <c r="S135" s="102"/>
      <c r="AD135" s="9"/>
      <c r="AE135" s="9"/>
      <c r="AF135" s="9"/>
      <c r="AG135" s="9"/>
      <c r="AH135" s="9"/>
      <c r="AI135" s="9"/>
      <c r="AJ135" s="9"/>
      <c r="AK135" s="9"/>
      <c r="AL135" s="9"/>
      <c r="AM135" s="9"/>
      <c r="AN135" s="9"/>
    </row>
    <row r="136" spans="1:40" x14ac:dyDescent="0.25">
      <c r="A136" s="25" t="s">
        <v>98</v>
      </c>
      <c r="B136" s="25" t="s">
        <v>87</v>
      </c>
      <c r="C136" s="25" t="s">
        <v>172</v>
      </c>
      <c r="D136" s="25" t="s">
        <v>88</v>
      </c>
      <c r="E136" s="25" t="s">
        <v>109</v>
      </c>
      <c r="F136" s="25" t="s">
        <v>98</v>
      </c>
      <c r="G136" s="25" t="s">
        <v>173</v>
      </c>
      <c r="H136" s="25" t="s">
        <v>174</v>
      </c>
      <c r="I136" s="25">
        <v>252000</v>
      </c>
      <c r="N136" s="102"/>
      <c r="O136" s="102"/>
      <c r="P136" s="102">
        <v>252000</v>
      </c>
      <c r="Q136" s="102"/>
      <c r="S136" s="102"/>
      <c r="AD136" s="9"/>
      <c r="AE136" s="9"/>
      <c r="AF136" s="9"/>
      <c r="AG136" s="9"/>
      <c r="AH136" s="9"/>
      <c r="AI136" s="9"/>
      <c r="AJ136" s="9"/>
      <c r="AK136" s="9"/>
      <c r="AL136" s="9"/>
      <c r="AM136" s="9"/>
      <c r="AN136" s="9"/>
    </row>
    <row r="137" spans="1:40" x14ac:dyDescent="0.25">
      <c r="A137" s="25" t="s">
        <v>98</v>
      </c>
      <c r="B137" s="25" t="s">
        <v>87</v>
      </c>
      <c r="C137" s="25" t="s">
        <v>172</v>
      </c>
      <c r="D137" s="25" t="s">
        <v>88</v>
      </c>
      <c r="E137" s="25" t="s">
        <v>109</v>
      </c>
      <c r="F137" s="25" t="s">
        <v>98</v>
      </c>
      <c r="G137" s="25" t="s">
        <v>175</v>
      </c>
      <c r="H137" s="25" t="s">
        <v>156</v>
      </c>
      <c r="I137" s="25">
        <v>150000</v>
      </c>
      <c r="K137" s="25">
        <v>150000</v>
      </c>
      <c r="N137" s="102"/>
      <c r="O137" s="102"/>
      <c r="P137" s="102"/>
      <c r="Q137" s="102"/>
      <c r="S137" s="102"/>
      <c r="AD137" s="9"/>
      <c r="AE137" s="9"/>
      <c r="AF137" s="9"/>
      <c r="AG137" s="9"/>
      <c r="AH137" s="9"/>
      <c r="AI137" s="9"/>
      <c r="AJ137" s="9"/>
      <c r="AK137" s="9"/>
      <c r="AL137" s="9"/>
      <c r="AM137" s="9"/>
      <c r="AN137" s="9"/>
    </row>
    <row r="138" spans="1:40" x14ac:dyDescent="0.25">
      <c r="A138" s="25" t="s">
        <v>98</v>
      </c>
      <c r="B138" s="25" t="s">
        <v>87</v>
      </c>
      <c r="C138" s="25" t="s">
        <v>172</v>
      </c>
      <c r="D138" s="25" t="s">
        <v>88</v>
      </c>
      <c r="E138" s="25" t="s">
        <v>109</v>
      </c>
      <c r="F138" s="25" t="s">
        <v>98</v>
      </c>
      <c r="G138" s="25" t="s">
        <v>176</v>
      </c>
      <c r="H138" s="25" t="s">
        <v>156</v>
      </c>
      <c r="I138" s="25">
        <v>165000</v>
      </c>
      <c r="K138" s="25">
        <v>165000</v>
      </c>
      <c r="N138" s="102"/>
      <c r="O138" s="102"/>
      <c r="P138" s="102"/>
      <c r="Q138" s="102"/>
      <c r="S138" s="102"/>
      <c r="AD138" s="9"/>
      <c r="AE138" s="9"/>
      <c r="AF138" s="9"/>
      <c r="AG138" s="9"/>
      <c r="AH138" s="9"/>
      <c r="AI138" s="9"/>
      <c r="AJ138" s="9"/>
      <c r="AK138" s="9"/>
      <c r="AL138" s="9"/>
      <c r="AM138" s="9"/>
      <c r="AN138" s="9"/>
    </row>
    <row r="139" spans="1:40" x14ac:dyDescent="0.25">
      <c r="A139" s="25" t="s">
        <v>98</v>
      </c>
      <c r="B139" s="25" t="s">
        <v>157</v>
      </c>
      <c r="C139" s="25" t="s">
        <v>145</v>
      </c>
      <c r="D139" s="25" t="s">
        <v>109</v>
      </c>
      <c r="E139" s="25" t="s">
        <v>107</v>
      </c>
      <c r="F139" s="25" t="s">
        <v>98</v>
      </c>
      <c r="H139" s="25" t="s">
        <v>146</v>
      </c>
      <c r="I139" s="25">
        <v>-162000</v>
      </c>
      <c r="K139" s="25">
        <v>-162000</v>
      </c>
      <c r="N139" s="102"/>
      <c r="O139" s="102"/>
      <c r="P139" s="102"/>
      <c r="Q139" s="102"/>
      <c r="S139" s="102"/>
      <c r="AD139" s="9"/>
      <c r="AE139" s="9"/>
      <c r="AF139" s="9"/>
      <c r="AG139" s="9"/>
      <c r="AH139" s="9"/>
      <c r="AI139" s="9"/>
      <c r="AJ139" s="9"/>
      <c r="AK139" s="9"/>
      <c r="AL139" s="9"/>
      <c r="AM139" s="9"/>
      <c r="AN139" s="9"/>
    </row>
    <row r="140" spans="1:40" x14ac:dyDescent="0.25">
      <c r="A140" s="25" t="s">
        <v>98</v>
      </c>
      <c r="B140" s="25" t="s">
        <v>157</v>
      </c>
      <c r="C140" s="25" t="s">
        <v>147</v>
      </c>
      <c r="D140" s="25" t="s">
        <v>109</v>
      </c>
      <c r="E140" s="25" t="s">
        <v>141</v>
      </c>
      <c r="F140" s="25" t="s">
        <v>98</v>
      </c>
      <c r="H140" s="25" t="s">
        <v>148</v>
      </c>
      <c r="I140" s="25">
        <v>-156743</v>
      </c>
      <c r="K140" s="25">
        <v>-156743</v>
      </c>
      <c r="N140" s="102"/>
      <c r="O140" s="102"/>
      <c r="P140" s="102"/>
      <c r="Q140" s="102"/>
      <c r="S140" s="102"/>
      <c r="AD140" s="9"/>
      <c r="AE140" s="9"/>
      <c r="AF140" s="9"/>
      <c r="AG140" s="9"/>
      <c r="AH140" s="9"/>
      <c r="AI140" s="9"/>
      <c r="AJ140" s="9"/>
      <c r="AK140" s="9"/>
      <c r="AL140" s="9"/>
      <c r="AM140" s="9"/>
      <c r="AN140" s="9"/>
    </row>
    <row r="141" spans="1:40" x14ac:dyDescent="0.25">
      <c r="A141" s="25" t="s">
        <v>98</v>
      </c>
      <c r="B141" s="25" t="s">
        <v>157</v>
      </c>
      <c r="C141" s="25" t="s">
        <v>160</v>
      </c>
      <c r="D141" s="25" t="s">
        <v>109</v>
      </c>
      <c r="E141" s="25" t="s">
        <v>88</v>
      </c>
      <c r="F141" s="25" t="s">
        <v>161</v>
      </c>
      <c r="G141" s="25" t="s">
        <v>155</v>
      </c>
      <c r="H141" s="25" t="s">
        <v>162</v>
      </c>
      <c r="I141" s="25">
        <v>-166541</v>
      </c>
      <c r="K141" s="25">
        <v>-166541</v>
      </c>
      <c r="N141" s="102"/>
      <c r="O141" s="102"/>
      <c r="P141" s="102"/>
      <c r="Q141" s="102"/>
      <c r="S141" s="102"/>
      <c r="AD141" s="9"/>
      <c r="AE141" s="9"/>
      <c r="AF141" s="9"/>
      <c r="AG141" s="9"/>
      <c r="AH141" s="9"/>
      <c r="AI141" s="9"/>
      <c r="AJ141" s="9"/>
      <c r="AK141" s="9"/>
      <c r="AL141" s="9"/>
      <c r="AM141" s="9"/>
      <c r="AN141" s="9"/>
    </row>
    <row r="142" spans="1:40" x14ac:dyDescent="0.25">
      <c r="A142" s="25" t="s">
        <v>98</v>
      </c>
      <c r="B142" s="25" t="s">
        <v>105</v>
      </c>
      <c r="C142" s="25" t="s">
        <v>143</v>
      </c>
      <c r="D142" s="25" t="s">
        <v>141</v>
      </c>
      <c r="E142" s="25" t="s">
        <v>109</v>
      </c>
      <c r="F142" s="25" t="s">
        <v>178</v>
      </c>
      <c r="H142" s="25" t="s">
        <v>179</v>
      </c>
      <c r="I142" s="25">
        <v>289145</v>
      </c>
      <c r="N142" s="102"/>
      <c r="O142" s="102"/>
      <c r="P142" s="102">
        <v>289145</v>
      </c>
      <c r="Q142" s="102"/>
      <c r="S142" s="102"/>
      <c r="AD142" s="9"/>
      <c r="AE142" s="9"/>
      <c r="AF142" s="9"/>
      <c r="AG142" s="9"/>
      <c r="AH142" s="9"/>
      <c r="AI142" s="9"/>
      <c r="AJ142" s="9"/>
      <c r="AK142" s="9"/>
      <c r="AL142" s="9"/>
      <c r="AM142" s="9"/>
      <c r="AN142" s="9"/>
    </row>
    <row r="143" spans="1:40" x14ac:dyDescent="0.25">
      <c r="A143" s="25" t="s">
        <v>90</v>
      </c>
      <c r="B143" s="25" t="s">
        <v>86</v>
      </c>
      <c r="C143" s="25" t="s">
        <v>200</v>
      </c>
      <c r="D143" s="25" t="s">
        <v>109</v>
      </c>
      <c r="E143" s="25" t="s">
        <v>88</v>
      </c>
      <c r="F143" s="25" t="s">
        <v>178</v>
      </c>
      <c r="G143" s="25" t="s">
        <v>201</v>
      </c>
      <c r="H143" s="25" t="s">
        <v>202</v>
      </c>
      <c r="I143" s="25">
        <v>-207994.35</v>
      </c>
      <c r="K143" s="25">
        <v>-207994.35</v>
      </c>
      <c r="N143" s="102"/>
      <c r="O143" s="102"/>
      <c r="P143" s="102"/>
      <c r="Q143" s="102"/>
      <c r="S143" s="102"/>
      <c r="AD143" s="9"/>
      <c r="AE143" s="9"/>
      <c r="AF143" s="9"/>
      <c r="AG143" s="9"/>
      <c r="AH143" s="9"/>
      <c r="AI143" s="9"/>
      <c r="AJ143" s="9"/>
      <c r="AK143" s="9"/>
      <c r="AL143" s="9"/>
      <c r="AM143" s="9"/>
      <c r="AN143" s="9"/>
    </row>
    <row r="144" spans="1:40" x14ac:dyDescent="0.25">
      <c r="A144" s="25" t="s">
        <v>90</v>
      </c>
      <c r="B144" s="25" t="s">
        <v>86</v>
      </c>
      <c r="C144" s="25" t="s">
        <v>203</v>
      </c>
      <c r="D144" s="25" t="s">
        <v>109</v>
      </c>
      <c r="E144" s="25" t="s">
        <v>91</v>
      </c>
      <c r="F144" s="25" t="s">
        <v>178</v>
      </c>
      <c r="G144" s="25" t="s">
        <v>198</v>
      </c>
      <c r="H144" s="25" t="s">
        <v>199</v>
      </c>
      <c r="I144" s="25">
        <v>-118377</v>
      </c>
      <c r="N144" s="102">
        <v>-118377</v>
      </c>
      <c r="O144" s="102"/>
      <c r="P144" s="102"/>
      <c r="Q144" s="102"/>
      <c r="S144" s="102"/>
      <c r="AD144" s="9"/>
      <c r="AE144" s="9"/>
      <c r="AF144" s="9"/>
      <c r="AG144" s="9"/>
      <c r="AH144" s="9"/>
      <c r="AI144" s="9"/>
      <c r="AJ144" s="9"/>
      <c r="AK144" s="9"/>
      <c r="AL144" s="9"/>
      <c r="AM144" s="9"/>
      <c r="AN144" s="9"/>
    </row>
    <row r="145" spans="1:40" x14ac:dyDescent="0.25">
      <c r="A145" s="25" t="s">
        <v>90</v>
      </c>
      <c r="B145" s="25" t="s">
        <v>87</v>
      </c>
      <c r="C145" s="25" t="s">
        <v>166</v>
      </c>
      <c r="D145" s="25" t="s">
        <v>88</v>
      </c>
      <c r="E145" s="25" t="s">
        <v>109</v>
      </c>
      <c r="F145" s="25" t="s">
        <v>90</v>
      </c>
      <c r="H145" s="25" t="s">
        <v>167</v>
      </c>
      <c r="I145" s="25">
        <v>344098.48</v>
      </c>
      <c r="N145" s="102">
        <v>344098.48</v>
      </c>
      <c r="O145" s="102"/>
      <c r="P145" s="102"/>
      <c r="Q145" s="102"/>
      <c r="S145" s="102"/>
      <c r="AD145" s="9"/>
      <c r="AE145" s="9"/>
      <c r="AF145" s="9"/>
      <c r="AG145" s="9"/>
      <c r="AH145" s="9"/>
      <c r="AI145" s="9"/>
      <c r="AJ145" s="9"/>
      <c r="AK145" s="9"/>
      <c r="AL145" s="9"/>
      <c r="AM145" s="9"/>
      <c r="AN145" s="9"/>
    </row>
    <row r="146" spans="1:40" x14ac:dyDescent="0.25">
      <c r="A146" s="104" t="s">
        <v>90</v>
      </c>
      <c r="B146" s="104" t="s">
        <v>87</v>
      </c>
      <c r="C146" s="104" t="s">
        <v>172</v>
      </c>
      <c r="D146" s="104" t="s">
        <v>88</v>
      </c>
      <c r="E146" s="104" t="s">
        <v>109</v>
      </c>
      <c r="F146" s="104" t="s">
        <v>90</v>
      </c>
      <c r="G146" s="104" t="s">
        <v>173</v>
      </c>
      <c r="H146" s="104" t="s">
        <v>174</v>
      </c>
      <c r="I146" s="104">
        <v>295160</v>
      </c>
      <c r="J146" s="104"/>
      <c r="K146" s="104"/>
      <c r="L146" s="104"/>
      <c r="M146" s="104"/>
      <c r="N146" s="104">
        <v>295160</v>
      </c>
      <c r="O146" s="104"/>
      <c r="P146" s="104"/>
      <c r="Q146" s="104"/>
      <c r="R146" s="104"/>
    </row>
    <row r="147" spans="1:40" x14ac:dyDescent="0.25">
      <c r="A147" s="104" t="s">
        <v>90</v>
      </c>
      <c r="B147" s="104" t="s">
        <v>87</v>
      </c>
      <c r="C147" s="104" t="s">
        <v>191</v>
      </c>
      <c r="D147" s="104" t="s">
        <v>88</v>
      </c>
      <c r="E147" s="104" t="s">
        <v>109</v>
      </c>
      <c r="F147" s="104" t="s">
        <v>90</v>
      </c>
      <c r="G147" s="104" t="s">
        <v>192</v>
      </c>
      <c r="H147" s="104" t="s">
        <v>193</v>
      </c>
      <c r="I147" s="104">
        <v>126293.53</v>
      </c>
      <c r="J147" s="104"/>
      <c r="K147" s="104"/>
      <c r="L147" s="104"/>
      <c r="M147" s="104"/>
      <c r="N147" s="104">
        <v>126293.53</v>
      </c>
      <c r="O147" s="104"/>
      <c r="P147" s="104"/>
      <c r="Q147" s="104"/>
      <c r="R147" s="104"/>
    </row>
    <row r="148" spans="1:40" x14ac:dyDescent="0.25">
      <c r="A148" s="105" t="s">
        <v>90</v>
      </c>
      <c r="B148" s="105" t="s">
        <v>105</v>
      </c>
      <c r="C148" s="105" t="s">
        <v>195</v>
      </c>
      <c r="D148" s="105" t="s">
        <v>88</v>
      </c>
      <c r="E148" s="105" t="s">
        <v>109</v>
      </c>
      <c r="F148" s="105" t="s">
        <v>90</v>
      </c>
      <c r="G148" s="105" t="s">
        <v>194</v>
      </c>
      <c r="H148" s="105" t="s">
        <v>196</v>
      </c>
      <c r="I148" s="105">
        <v>343124</v>
      </c>
      <c r="J148" s="105">
        <v>343124</v>
      </c>
      <c r="K148" s="105"/>
      <c r="L148" s="105"/>
      <c r="M148" s="105"/>
      <c r="N148" s="105"/>
      <c r="O148" s="105"/>
      <c r="P148" s="105"/>
      <c r="Q148" s="105"/>
      <c r="R148" s="105"/>
    </row>
    <row r="149" spans="1:40" x14ac:dyDescent="0.25">
      <c r="A149" s="105" t="s">
        <v>90</v>
      </c>
      <c r="B149" s="105" t="s">
        <v>105</v>
      </c>
      <c r="C149" s="105" t="s">
        <v>143</v>
      </c>
      <c r="D149" s="105" t="s">
        <v>141</v>
      </c>
      <c r="E149" s="105" t="s">
        <v>109</v>
      </c>
      <c r="F149" s="105" t="s">
        <v>178</v>
      </c>
      <c r="G149" s="105"/>
      <c r="H149" s="105" t="s">
        <v>180</v>
      </c>
      <c r="I149" s="105">
        <v>289145</v>
      </c>
      <c r="J149" s="105"/>
      <c r="K149" s="105"/>
      <c r="L149" s="105"/>
      <c r="M149" s="105"/>
      <c r="N149" s="105">
        <v>289145</v>
      </c>
      <c r="O149" s="105"/>
      <c r="P149" s="105"/>
      <c r="Q149" s="105"/>
      <c r="R149" s="105"/>
    </row>
    <row r="150" spans="1:40" x14ac:dyDescent="0.25">
      <c r="A150" s="25" t="s">
        <v>90</v>
      </c>
      <c r="B150" s="25" t="s">
        <v>101</v>
      </c>
      <c r="C150" s="25" t="s">
        <v>195</v>
      </c>
      <c r="D150" s="25" t="s">
        <v>109</v>
      </c>
      <c r="E150" s="25" t="s">
        <v>88</v>
      </c>
      <c r="F150" s="25" t="s">
        <v>90</v>
      </c>
      <c r="G150" s="25" t="s">
        <v>194</v>
      </c>
      <c r="H150" s="25" t="s">
        <v>197</v>
      </c>
      <c r="I150" s="25">
        <v>-381249</v>
      </c>
      <c r="M150" s="25">
        <v>-381249</v>
      </c>
    </row>
    <row r="151" spans="1:40" x14ac:dyDescent="0.25">
      <c r="A151" s="25" t="s">
        <v>178</v>
      </c>
      <c r="B151" s="25" t="s">
        <v>86</v>
      </c>
      <c r="C151" s="25" t="s">
        <v>204</v>
      </c>
      <c r="D151" s="25" t="s">
        <v>109</v>
      </c>
      <c r="E151" s="25" t="s">
        <v>88</v>
      </c>
      <c r="F151" s="25" t="s">
        <v>205</v>
      </c>
      <c r="G151" s="25" t="s">
        <v>206</v>
      </c>
      <c r="H151" s="25" t="s">
        <v>156</v>
      </c>
      <c r="I151" s="25">
        <v>-88295.59</v>
      </c>
      <c r="K151" s="25">
        <v>-88295.59</v>
      </c>
    </row>
    <row r="152" spans="1:40" x14ac:dyDescent="0.25">
      <c r="A152" s="106" t="s">
        <v>178</v>
      </c>
      <c r="B152" s="106" t="s">
        <v>86</v>
      </c>
      <c r="C152" s="106" t="s">
        <v>204</v>
      </c>
      <c r="D152" s="106" t="s">
        <v>109</v>
      </c>
      <c r="E152" s="106" t="s">
        <v>88</v>
      </c>
      <c r="F152" s="106" t="s">
        <v>205</v>
      </c>
      <c r="G152" s="106" t="s">
        <v>207</v>
      </c>
      <c r="H152" s="106" t="s">
        <v>202</v>
      </c>
      <c r="I152" s="106">
        <v>-141344.54999999999</v>
      </c>
      <c r="J152" s="106"/>
      <c r="K152" s="106"/>
      <c r="L152" s="106"/>
      <c r="M152" s="106"/>
      <c r="N152" s="106"/>
      <c r="O152" s="106"/>
      <c r="P152" s="106">
        <v>-141344.54999999999</v>
      </c>
      <c r="Q152" s="106"/>
      <c r="R152" s="106"/>
    </row>
    <row r="153" spans="1:40" x14ac:dyDescent="0.25">
      <c r="A153" s="106" t="s">
        <v>178</v>
      </c>
      <c r="B153" s="106" t="s">
        <v>87</v>
      </c>
      <c r="C153" s="106" t="s">
        <v>200</v>
      </c>
      <c r="D153" s="106" t="s">
        <v>88</v>
      </c>
      <c r="E153" s="106" t="s">
        <v>109</v>
      </c>
      <c r="F153" s="106" t="s">
        <v>178</v>
      </c>
      <c r="G153" s="106" t="s">
        <v>201</v>
      </c>
      <c r="H153" s="106" t="s">
        <v>202</v>
      </c>
      <c r="I153" s="106">
        <v>207994.35</v>
      </c>
      <c r="J153" s="106"/>
      <c r="K153" s="106"/>
      <c r="L153" s="106"/>
      <c r="M153" s="106"/>
      <c r="N153" s="106">
        <v>207994.35</v>
      </c>
      <c r="O153" s="106"/>
      <c r="P153" s="106"/>
      <c r="Q153" s="106"/>
      <c r="R153" s="106"/>
    </row>
    <row r="154" spans="1:40" x14ac:dyDescent="0.25">
      <c r="A154" s="118" t="s">
        <v>178</v>
      </c>
      <c r="B154" s="118" t="s">
        <v>87</v>
      </c>
      <c r="C154" s="118" t="s">
        <v>203</v>
      </c>
      <c r="D154" s="118" t="s">
        <v>91</v>
      </c>
      <c r="E154" s="118" t="s">
        <v>109</v>
      </c>
      <c r="F154" s="118" t="s">
        <v>178</v>
      </c>
      <c r="G154" s="118" t="s">
        <v>198</v>
      </c>
      <c r="H154" s="118" t="s">
        <v>199</v>
      </c>
      <c r="I154" s="118">
        <v>118377</v>
      </c>
      <c r="J154" s="118"/>
      <c r="K154" s="118"/>
      <c r="L154" s="118"/>
      <c r="M154" s="118"/>
      <c r="N154" s="118">
        <v>118377</v>
      </c>
      <c r="O154" s="118"/>
      <c r="P154" s="118"/>
      <c r="Q154" s="118"/>
      <c r="R154" s="118"/>
    </row>
    <row r="155" spans="1:40" x14ac:dyDescent="0.25">
      <c r="A155" s="118" t="s">
        <v>178</v>
      </c>
      <c r="B155" s="118" t="s">
        <v>105</v>
      </c>
      <c r="C155" s="118" t="s">
        <v>143</v>
      </c>
      <c r="D155" s="118" t="s">
        <v>141</v>
      </c>
      <c r="E155" s="118" t="s">
        <v>109</v>
      </c>
      <c r="F155" s="118" t="s">
        <v>178</v>
      </c>
      <c r="G155" s="118"/>
      <c r="H155" s="118" t="s">
        <v>181</v>
      </c>
      <c r="I155" s="118">
        <v>289145</v>
      </c>
      <c r="J155" s="118"/>
      <c r="K155" s="118"/>
      <c r="L155" s="118"/>
      <c r="M155" s="118"/>
      <c r="N155" s="118">
        <v>289145</v>
      </c>
      <c r="O155" s="118"/>
      <c r="P155" s="118"/>
      <c r="Q155" s="118"/>
      <c r="R155" s="118"/>
    </row>
    <row r="156" spans="1:40" x14ac:dyDescent="0.25">
      <c r="A156" s="118" t="s">
        <v>205</v>
      </c>
      <c r="B156" s="118" t="s">
        <v>86</v>
      </c>
      <c r="C156" s="118" t="s">
        <v>208</v>
      </c>
      <c r="D156" s="118" t="s">
        <v>109</v>
      </c>
      <c r="E156" s="118" t="s">
        <v>88</v>
      </c>
      <c r="F156" s="118" t="s">
        <v>209</v>
      </c>
      <c r="G156" s="118" t="s">
        <v>206</v>
      </c>
      <c r="H156" s="118" t="s">
        <v>156</v>
      </c>
      <c r="I156" s="118">
        <v>-88295.59</v>
      </c>
      <c r="J156" s="118"/>
      <c r="K156" s="118">
        <v>-88295.59</v>
      </c>
      <c r="L156" s="118"/>
      <c r="M156" s="118"/>
      <c r="N156" s="118"/>
      <c r="O156" s="118"/>
      <c r="P156" s="118"/>
      <c r="Q156" s="118"/>
      <c r="R156" s="118"/>
    </row>
    <row r="157" spans="1:40" x14ac:dyDescent="0.25">
      <c r="A157" s="118" t="s">
        <v>205</v>
      </c>
      <c r="B157" s="118" t="s">
        <v>86</v>
      </c>
      <c r="C157" s="118" t="s">
        <v>208</v>
      </c>
      <c r="D157" s="118" t="s">
        <v>109</v>
      </c>
      <c r="E157" s="118" t="s">
        <v>88</v>
      </c>
      <c r="F157" s="118" t="s">
        <v>209</v>
      </c>
      <c r="G157" s="118" t="s">
        <v>206</v>
      </c>
      <c r="H157" s="118" t="s">
        <v>202</v>
      </c>
      <c r="I157" s="118">
        <v>-492829.55</v>
      </c>
      <c r="J157" s="118"/>
      <c r="K157" s="118"/>
      <c r="L157" s="118"/>
      <c r="M157" s="118"/>
      <c r="N157" s="118">
        <v>-492829.55</v>
      </c>
      <c r="O157" s="118"/>
      <c r="P157" s="118"/>
      <c r="Q157" s="118"/>
      <c r="R157" s="118"/>
    </row>
    <row r="158" spans="1:40" x14ac:dyDescent="0.25">
      <c r="A158" s="118" t="s">
        <v>205</v>
      </c>
      <c r="B158" s="118" t="s">
        <v>87</v>
      </c>
      <c r="C158" s="118" t="s">
        <v>204</v>
      </c>
      <c r="D158" s="118" t="s">
        <v>88</v>
      </c>
      <c r="E158" s="118" t="s">
        <v>109</v>
      </c>
      <c r="F158" s="118" t="s">
        <v>205</v>
      </c>
      <c r="G158" s="118" t="s">
        <v>206</v>
      </c>
      <c r="H158" s="118" t="s">
        <v>156</v>
      </c>
      <c r="I158" s="118">
        <v>88295.59</v>
      </c>
      <c r="J158" s="118"/>
      <c r="K158" s="118">
        <v>88295.59</v>
      </c>
      <c r="L158" s="118"/>
      <c r="M158" s="118"/>
      <c r="N158" s="118"/>
      <c r="O158" s="118"/>
      <c r="P158" s="118"/>
      <c r="Q158" s="118"/>
      <c r="R158" s="118"/>
    </row>
    <row r="159" spans="1:40" x14ac:dyDescent="0.25">
      <c r="A159" s="118" t="s">
        <v>205</v>
      </c>
      <c r="B159" s="118" t="s">
        <v>87</v>
      </c>
      <c r="C159" s="118" t="s">
        <v>204</v>
      </c>
      <c r="D159" s="118" t="s">
        <v>88</v>
      </c>
      <c r="E159" s="118" t="s">
        <v>109</v>
      </c>
      <c r="F159" s="118" t="s">
        <v>205</v>
      </c>
      <c r="G159" s="118" t="s">
        <v>207</v>
      </c>
      <c r="H159" s="118" t="s">
        <v>202</v>
      </c>
      <c r="I159" s="118">
        <v>141344.54999999999</v>
      </c>
      <c r="J159" s="118"/>
      <c r="K159" s="118"/>
      <c r="L159" s="118"/>
      <c r="M159" s="118"/>
      <c r="N159" s="118"/>
      <c r="O159" s="118"/>
      <c r="P159" s="118">
        <v>141344.54999999999</v>
      </c>
      <c r="Q159" s="118"/>
      <c r="R159" s="118"/>
    </row>
    <row r="160" spans="1:40" x14ac:dyDescent="0.25">
      <c r="A160" s="118" t="s">
        <v>209</v>
      </c>
      <c r="B160" s="118" t="s">
        <v>86</v>
      </c>
      <c r="C160" s="118" t="s">
        <v>228</v>
      </c>
      <c r="D160" s="118" t="s">
        <v>109</v>
      </c>
      <c r="E160" s="118" t="s">
        <v>88</v>
      </c>
      <c r="F160" s="118" t="s">
        <v>210</v>
      </c>
      <c r="G160" s="118" t="s">
        <v>236</v>
      </c>
      <c r="H160" s="118" t="s">
        <v>156</v>
      </c>
      <c r="I160" s="118">
        <v>-43081.59</v>
      </c>
      <c r="J160" s="118"/>
      <c r="K160" s="118">
        <v>-43081.59</v>
      </c>
      <c r="L160" s="118"/>
      <c r="M160" s="118"/>
      <c r="N160" s="118"/>
      <c r="O160" s="118"/>
      <c r="P160" s="118"/>
      <c r="Q160" s="118"/>
      <c r="R160" s="118"/>
    </row>
    <row r="161" spans="1:18" x14ac:dyDescent="0.25">
      <c r="A161" s="118" t="s">
        <v>209</v>
      </c>
      <c r="B161" s="118" t="s">
        <v>86</v>
      </c>
      <c r="C161" s="118" t="s">
        <v>228</v>
      </c>
      <c r="D161" s="118" t="s">
        <v>109</v>
      </c>
      <c r="E161" s="118" t="s">
        <v>88</v>
      </c>
      <c r="F161" s="118" t="s">
        <v>210</v>
      </c>
      <c r="G161" s="118" t="s">
        <v>237</v>
      </c>
      <c r="H161" s="118" t="s">
        <v>202</v>
      </c>
      <c r="I161" s="118">
        <v>-993494.04</v>
      </c>
      <c r="J161" s="118"/>
      <c r="K161" s="118"/>
      <c r="L161" s="118"/>
      <c r="M161" s="118">
        <v>-444180.33</v>
      </c>
      <c r="N161" s="118">
        <v>-29424.71</v>
      </c>
      <c r="O161" s="118">
        <v>-519889</v>
      </c>
      <c r="P161" s="118"/>
      <c r="Q161" s="118"/>
      <c r="R161" s="118"/>
    </row>
    <row r="162" spans="1:18" x14ac:dyDescent="0.25">
      <c r="A162" s="25" t="s">
        <v>209</v>
      </c>
      <c r="B162" s="25" t="s">
        <v>87</v>
      </c>
      <c r="C162" s="25" t="s">
        <v>208</v>
      </c>
      <c r="D162" s="25" t="s">
        <v>88</v>
      </c>
      <c r="E162" s="25" t="s">
        <v>109</v>
      </c>
      <c r="F162" s="25" t="s">
        <v>209</v>
      </c>
      <c r="G162" s="25" t="s">
        <v>206</v>
      </c>
      <c r="H162" s="25" t="s">
        <v>156</v>
      </c>
      <c r="I162" s="25">
        <v>88295.59</v>
      </c>
      <c r="K162" s="25">
        <v>88295.59</v>
      </c>
    </row>
    <row r="163" spans="1:18" x14ac:dyDescent="0.25">
      <c r="A163" s="25" t="s">
        <v>210</v>
      </c>
      <c r="B163" s="25" t="s">
        <v>87</v>
      </c>
      <c r="C163" s="25" t="s">
        <v>208</v>
      </c>
      <c r="D163" s="25" t="s">
        <v>88</v>
      </c>
      <c r="E163" s="25" t="s">
        <v>109</v>
      </c>
      <c r="F163" s="25" t="s">
        <v>209</v>
      </c>
      <c r="G163" s="25" t="s">
        <v>206</v>
      </c>
      <c r="H163" s="25" t="s">
        <v>211</v>
      </c>
      <c r="I163" s="25">
        <v>492829.55</v>
      </c>
      <c r="N163" s="25">
        <v>492829.55</v>
      </c>
    </row>
    <row r="164" spans="1:18" x14ac:dyDescent="0.25">
      <c r="A164" s="25" t="s">
        <v>210</v>
      </c>
      <c r="B164" s="25" t="s">
        <v>87</v>
      </c>
      <c r="C164" s="25" t="s">
        <v>228</v>
      </c>
      <c r="D164" s="25" t="s">
        <v>88</v>
      </c>
      <c r="E164" s="25" t="s">
        <v>109</v>
      </c>
      <c r="F164" s="25" t="s">
        <v>210</v>
      </c>
      <c r="G164" s="25" t="s">
        <v>236</v>
      </c>
      <c r="H164" s="25" t="s">
        <v>156</v>
      </c>
      <c r="I164" s="25">
        <v>43081.59</v>
      </c>
      <c r="K164" s="25">
        <v>43081.59</v>
      </c>
    </row>
    <row r="165" spans="1:18" x14ac:dyDescent="0.25">
      <c r="A165" s="25" t="s">
        <v>210</v>
      </c>
      <c r="B165" s="25" t="s">
        <v>87</v>
      </c>
      <c r="C165" s="25" t="s">
        <v>228</v>
      </c>
      <c r="D165" s="25" t="s">
        <v>88</v>
      </c>
      <c r="E165" s="25" t="s">
        <v>109</v>
      </c>
      <c r="F165" s="25" t="s">
        <v>210</v>
      </c>
      <c r="G165" s="25" t="s">
        <v>237</v>
      </c>
      <c r="H165" s="25" t="s">
        <v>202</v>
      </c>
      <c r="I165" s="25">
        <v>993494.04</v>
      </c>
      <c r="M165" s="25">
        <v>444180.33</v>
      </c>
      <c r="N165" s="25">
        <v>29424.71</v>
      </c>
      <c r="O165" s="25">
        <v>519889</v>
      </c>
    </row>
    <row r="166" spans="1:18" x14ac:dyDescent="0.25">
      <c r="A166" s="25" t="s">
        <v>210</v>
      </c>
      <c r="B166" s="25" t="s">
        <v>87</v>
      </c>
      <c r="C166" s="25" t="s">
        <v>245</v>
      </c>
      <c r="D166" s="25" t="s">
        <v>88</v>
      </c>
      <c r="E166" s="25" t="s">
        <v>109</v>
      </c>
      <c r="F166" s="25" t="s">
        <v>210</v>
      </c>
      <c r="G166" s="25" t="s">
        <v>246</v>
      </c>
      <c r="H166" s="25" t="s">
        <v>202</v>
      </c>
      <c r="I166" s="25">
        <v>884408</v>
      </c>
      <c r="O166" s="25">
        <v>884408</v>
      </c>
    </row>
    <row r="167" spans="1:18" x14ac:dyDescent="0.25">
      <c r="A167" s="25" t="s">
        <v>210</v>
      </c>
      <c r="B167" s="25" t="s">
        <v>87</v>
      </c>
      <c r="C167" s="25" t="s">
        <v>247</v>
      </c>
      <c r="D167" s="25" t="s">
        <v>88</v>
      </c>
      <c r="E167" s="25" t="s">
        <v>109</v>
      </c>
      <c r="F167" s="25" t="s">
        <v>210</v>
      </c>
      <c r="G167" s="25" t="s">
        <v>246</v>
      </c>
      <c r="H167" s="25" t="s">
        <v>202</v>
      </c>
      <c r="I167" s="25">
        <v>473023</v>
      </c>
      <c r="O167" s="25">
        <v>473023</v>
      </c>
    </row>
    <row r="168" spans="1:18" x14ac:dyDescent="0.25">
      <c r="A168" s="25" t="s">
        <v>210</v>
      </c>
      <c r="B168" s="25" t="s">
        <v>105</v>
      </c>
      <c r="C168" s="25" t="s">
        <v>249</v>
      </c>
      <c r="D168" s="25" t="s">
        <v>88</v>
      </c>
      <c r="E168" s="25" t="s">
        <v>109</v>
      </c>
      <c r="F168" s="25" t="s">
        <v>210</v>
      </c>
      <c r="G168" s="25" t="s">
        <v>242</v>
      </c>
      <c r="H168" s="25" t="s">
        <v>196</v>
      </c>
      <c r="I168" s="25">
        <v>2977627</v>
      </c>
      <c r="J168" s="25">
        <v>2977627</v>
      </c>
    </row>
    <row r="169" spans="1:18" x14ac:dyDescent="0.25">
      <c r="A169" s="25" t="s">
        <v>210</v>
      </c>
      <c r="B169" s="25" t="s">
        <v>101</v>
      </c>
      <c r="C169" s="25" t="s">
        <v>249</v>
      </c>
      <c r="D169" s="25" t="s">
        <v>109</v>
      </c>
      <c r="E169" s="25" t="s">
        <v>88</v>
      </c>
      <c r="F169" s="25" t="s">
        <v>210</v>
      </c>
      <c r="G169" s="25" t="s">
        <v>242</v>
      </c>
      <c r="H169" s="25" t="s">
        <v>250</v>
      </c>
      <c r="I169" s="25">
        <v>-3308474</v>
      </c>
      <c r="O169" s="25">
        <v>-3308474</v>
      </c>
    </row>
    <row r="170" spans="1:18" x14ac:dyDescent="0.25">
      <c r="A170" s="191" t="s">
        <v>254</v>
      </c>
      <c r="B170" s="191" t="s">
        <v>86</v>
      </c>
      <c r="C170" s="191" t="s">
        <v>245</v>
      </c>
      <c r="D170" s="191" t="s">
        <v>109</v>
      </c>
      <c r="E170" s="191" t="s">
        <v>88</v>
      </c>
      <c r="F170" s="191" t="s">
        <v>210</v>
      </c>
      <c r="G170" s="191" t="s">
        <v>246</v>
      </c>
      <c r="H170" s="191" t="s">
        <v>202</v>
      </c>
      <c r="I170" s="191">
        <v>-884408</v>
      </c>
      <c r="J170" s="191"/>
      <c r="K170" s="191"/>
      <c r="L170" s="191"/>
      <c r="M170" s="191"/>
      <c r="N170" s="191"/>
      <c r="O170" s="191">
        <v>-884408</v>
      </c>
      <c r="P170" s="191"/>
      <c r="Q170" s="191"/>
      <c r="R170" s="191"/>
    </row>
    <row r="171" spans="1:18" x14ac:dyDescent="0.25">
      <c r="A171" s="191" t="s">
        <v>254</v>
      </c>
      <c r="B171" s="191" t="s">
        <v>86</v>
      </c>
      <c r="C171" s="191" t="s">
        <v>270</v>
      </c>
      <c r="D171" s="191" t="s">
        <v>109</v>
      </c>
      <c r="E171" s="191" t="s">
        <v>88</v>
      </c>
      <c r="F171" s="191" t="s">
        <v>255</v>
      </c>
      <c r="G171" s="191" t="s">
        <v>271</v>
      </c>
      <c r="H171" s="191" t="s">
        <v>272</v>
      </c>
      <c r="I171" s="191">
        <v>-58465.95</v>
      </c>
      <c r="J171" s="191"/>
      <c r="K171" s="191"/>
      <c r="L171" s="191"/>
      <c r="M171" s="191">
        <v>-58465.95</v>
      </c>
      <c r="N171" s="191"/>
      <c r="O171" s="191"/>
      <c r="P171" s="191"/>
      <c r="Q171" s="191"/>
      <c r="R171" s="191"/>
    </row>
    <row r="172" spans="1:18" x14ac:dyDescent="0.25">
      <c r="A172" s="194" t="s">
        <v>255</v>
      </c>
      <c r="B172" s="194" t="s">
        <v>86</v>
      </c>
      <c r="C172" s="194" t="s">
        <v>247</v>
      </c>
      <c r="D172" s="194" t="s">
        <v>109</v>
      </c>
      <c r="E172" s="194" t="s">
        <v>88</v>
      </c>
      <c r="F172" s="194" t="s">
        <v>210</v>
      </c>
      <c r="G172" s="194" t="s">
        <v>246</v>
      </c>
      <c r="H172" s="194" t="s">
        <v>202</v>
      </c>
      <c r="I172" s="194">
        <v>-473023</v>
      </c>
      <c r="J172" s="194"/>
      <c r="K172" s="194"/>
      <c r="L172" s="194"/>
      <c r="M172" s="194"/>
      <c r="N172" s="194"/>
      <c r="O172" s="194">
        <v>-473023</v>
      </c>
      <c r="P172" s="194"/>
      <c r="Q172" s="194"/>
      <c r="R172" s="194"/>
    </row>
    <row r="173" spans="1:18" x14ac:dyDescent="0.25">
      <c r="A173" s="194" t="s">
        <v>255</v>
      </c>
      <c r="B173" s="194" t="s">
        <v>87</v>
      </c>
      <c r="C173" s="194" t="s">
        <v>270</v>
      </c>
      <c r="D173" s="194" t="s">
        <v>88</v>
      </c>
      <c r="E173" s="194" t="s">
        <v>109</v>
      </c>
      <c r="F173" s="194" t="s">
        <v>255</v>
      </c>
      <c r="G173" s="194" t="s">
        <v>271</v>
      </c>
      <c r="H173" s="194" t="s">
        <v>272</v>
      </c>
      <c r="I173" s="194">
        <v>58465.95</v>
      </c>
      <c r="J173" s="194"/>
      <c r="K173" s="194"/>
      <c r="L173" s="194"/>
      <c r="M173" s="194">
        <v>58465.95</v>
      </c>
      <c r="N173" s="194"/>
      <c r="O173" s="194"/>
      <c r="P173" s="194"/>
      <c r="Q173" s="194"/>
      <c r="R173" s="194"/>
    </row>
  </sheetData>
  <mergeCells count="5">
    <mergeCell ref="A1:F1"/>
    <mergeCell ref="A3:F3"/>
    <mergeCell ref="A9:G9"/>
    <mergeCell ref="A7:H7"/>
    <mergeCell ref="A91:G91"/>
  </mergeCells>
  <pageMargins left="0.7" right="0.7" top="0.75" bottom="0.75" header="0.3" footer="0.3"/>
  <pageSetup paperSize="17" scale="76" orientation="landscape" r:id="rId1"/>
  <tableParts count="2">
    <tablePart r:id="rId2"/>
    <tablePart r:id="rId3"/>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E57"/>
  <sheetViews>
    <sheetView zoomScaleNormal="100" workbookViewId="0">
      <selection activeCell="B17" sqref="B17:E17"/>
    </sheetView>
  </sheetViews>
  <sheetFormatPr defaultRowHeight="15" x14ac:dyDescent="0.25"/>
  <cols>
    <col min="1" max="1" width="9.140625" style="1"/>
    <col min="2" max="2" width="20.7109375" customWidth="1"/>
    <col min="3" max="3" width="37.42578125" customWidth="1"/>
    <col min="4" max="4" width="15.7109375" customWidth="1"/>
    <col min="5" max="5" width="18.28515625" customWidth="1"/>
  </cols>
  <sheetData>
    <row r="1" spans="1:5" x14ac:dyDescent="0.25">
      <c r="A1" s="4" t="s">
        <v>13</v>
      </c>
      <c r="B1" s="239" t="s">
        <v>14</v>
      </c>
      <c r="C1" s="239"/>
      <c r="D1" s="239"/>
      <c r="E1" s="239"/>
    </row>
    <row r="2" spans="1:5" ht="81.75" customHeight="1" x14ac:dyDescent="0.25">
      <c r="A2" s="1">
        <v>1</v>
      </c>
      <c r="B2" s="238" t="s">
        <v>16</v>
      </c>
      <c r="C2" s="238"/>
      <c r="D2" s="238"/>
      <c r="E2" s="238"/>
    </row>
    <row r="3" spans="1:5" x14ac:dyDescent="0.25">
      <c r="B3" s="3"/>
      <c r="C3" s="3"/>
      <c r="D3" s="3"/>
      <c r="E3" s="3"/>
    </row>
    <row r="4" spans="1:5" ht="33" customHeight="1" x14ac:dyDescent="0.25">
      <c r="A4" s="1">
        <v>2</v>
      </c>
      <c r="B4" s="238" t="s">
        <v>17</v>
      </c>
      <c r="C4" s="238"/>
      <c r="D4" s="238"/>
      <c r="E4" s="238"/>
    </row>
    <row r="5" spans="1:5" x14ac:dyDescent="0.25">
      <c r="B5" s="3"/>
      <c r="C5" s="3"/>
      <c r="D5" s="3"/>
      <c r="E5" s="3"/>
    </row>
    <row r="6" spans="1:5" s="148" customFormat="1" ht="30" customHeight="1" x14ac:dyDescent="0.25">
      <c r="A6" s="149">
        <v>3</v>
      </c>
      <c r="B6" s="243" t="s">
        <v>226</v>
      </c>
      <c r="C6" s="243"/>
      <c r="D6" s="243"/>
      <c r="E6" s="243"/>
    </row>
    <row r="7" spans="1:5" s="17" customFormat="1" x14ac:dyDescent="0.25">
      <c r="A7" s="18"/>
      <c r="B7" s="19"/>
      <c r="C7" s="19"/>
      <c r="D7" s="19"/>
      <c r="E7" s="19"/>
    </row>
    <row r="8" spans="1:5" ht="36.75" customHeight="1" x14ac:dyDescent="0.25">
      <c r="A8" s="1">
        <v>4</v>
      </c>
      <c r="B8" s="242" t="s">
        <v>243</v>
      </c>
      <c r="C8" s="242"/>
      <c r="D8" s="186"/>
      <c r="E8" s="8"/>
    </row>
    <row r="9" spans="1:5" ht="18" customHeight="1" x14ac:dyDescent="0.25">
      <c r="B9" s="241" t="s">
        <v>273</v>
      </c>
      <c r="C9" s="241"/>
      <c r="D9" s="13">
        <v>125000</v>
      </c>
      <c r="E9" s="148"/>
    </row>
    <row r="10" spans="1:5" ht="18" customHeight="1" x14ac:dyDescent="0.25">
      <c r="B10" s="238" t="s">
        <v>274</v>
      </c>
      <c r="C10" s="238"/>
      <c r="D10" s="12">
        <v>-31250</v>
      </c>
      <c r="E10" s="119">
        <f>D10/$D$9</f>
        <v>-0.25</v>
      </c>
    </row>
    <row r="11" spans="1:5" ht="36" customHeight="1" x14ac:dyDescent="0.25">
      <c r="B11" s="241" t="s">
        <v>275</v>
      </c>
      <c r="C11" s="241"/>
      <c r="D11" s="14">
        <f>+D9+D10</f>
        <v>93750</v>
      </c>
      <c r="E11" s="119">
        <f>D11/$D$9</f>
        <v>0.75</v>
      </c>
    </row>
    <row r="12" spans="1:5" ht="31.5" customHeight="1" x14ac:dyDescent="0.25">
      <c r="B12" s="238" t="s">
        <v>276</v>
      </c>
      <c r="C12" s="238"/>
      <c r="D12" s="11">
        <v>31250</v>
      </c>
      <c r="E12" s="119">
        <f>D12/$D$9</f>
        <v>0.25</v>
      </c>
    </row>
    <row r="13" spans="1:5" ht="36.75" customHeight="1" x14ac:dyDescent="0.25">
      <c r="B13" s="241" t="s">
        <v>277</v>
      </c>
      <c r="C13" s="241"/>
      <c r="D13" s="15">
        <f>SUM(D11:D12)</f>
        <v>125000</v>
      </c>
      <c r="E13" s="187"/>
    </row>
    <row r="14" spans="1:5" s="17" customFormat="1" ht="18" customHeight="1" x14ac:dyDescent="0.25">
      <c r="A14" s="18"/>
      <c r="B14" s="22"/>
      <c r="C14" s="22"/>
      <c r="D14" s="23"/>
    </row>
    <row r="15" spans="1:5" s="17" customFormat="1" ht="27.75" customHeight="1" x14ac:dyDescent="0.25">
      <c r="A15" s="1">
        <v>5</v>
      </c>
      <c r="B15" s="240" t="s">
        <v>253</v>
      </c>
      <c r="C15" s="240"/>
      <c r="D15" s="240"/>
      <c r="E15" s="240"/>
    </row>
    <row r="16" spans="1:5" x14ac:dyDescent="0.25">
      <c r="B16" s="3"/>
      <c r="C16" s="3"/>
      <c r="D16" s="3"/>
      <c r="E16" s="3"/>
    </row>
    <row r="17" spans="1:5" ht="30" customHeight="1" x14ac:dyDescent="0.25">
      <c r="A17" s="1">
        <v>6</v>
      </c>
      <c r="B17" s="235" t="s">
        <v>283</v>
      </c>
      <c r="C17" s="235"/>
      <c r="D17" s="235"/>
      <c r="E17" s="235"/>
    </row>
    <row r="18" spans="1:5" x14ac:dyDescent="0.25">
      <c r="B18" s="10"/>
      <c r="C18" s="10"/>
      <c r="D18" s="10"/>
      <c r="E18" s="10"/>
    </row>
    <row r="19" spans="1:5" ht="33" customHeight="1" x14ac:dyDescent="0.25">
      <c r="A19" s="1">
        <v>7</v>
      </c>
      <c r="B19" s="238" t="s">
        <v>36</v>
      </c>
      <c r="C19" s="238"/>
      <c r="D19" s="238"/>
      <c r="E19" s="238"/>
    </row>
    <row r="20" spans="1:5" ht="14.25" customHeight="1" x14ac:dyDescent="0.25">
      <c r="B20" s="7"/>
      <c r="C20" s="7"/>
      <c r="D20" s="7"/>
      <c r="E20" s="7"/>
    </row>
    <row r="21" spans="1:5" ht="47.25" customHeight="1" x14ac:dyDescent="0.25">
      <c r="A21" s="1">
        <v>8</v>
      </c>
      <c r="B21" s="238" t="s">
        <v>37</v>
      </c>
      <c r="C21" s="238"/>
      <c r="D21" s="238"/>
      <c r="E21" s="238"/>
    </row>
    <row r="22" spans="1:5" ht="15" customHeight="1" x14ac:dyDescent="0.25">
      <c r="B22" s="7"/>
      <c r="C22" s="7"/>
      <c r="D22" s="7"/>
      <c r="E22" s="7"/>
    </row>
    <row r="23" spans="1:5" ht="32.25" customHeight="1" x14ac:dyDescent="0.25">
      <c r="A23" s="1">
        <v>9</v>
      </c>
      <c r="B23" s="238" t="s">
        <v>35</v>
      </c>
      <c r="C23" s="238"/>
      <c r="D23" s="238"/>
      <c r="E23" s="238"/>
    </row>
    <row r="24" spans="1:5" ht="15" customHeight="1" x14ac:dyDescent="0.25">
      <c r="B24" s="7"/>
      <c r="C24" s="7"/>
      <c r="D24" s="7"/>
      <c r="E24" s="7"/>
    </row>
    <row r="25" spans="1:5" ht="33" customHeight="1" x14ac:dyDescent="0.25">
      <c r="A25" s="1">
        <v>10</v>
      </c>
      <c r="B25" s="238" t="s">
        <v>38</v>
      </c>
      <c r="C25" s="238"/>
      <c r="D25" s="238"/>
      <c r="E25" s="238"/>
    </row>
    <row r="26" spans="1:5" x14ac:dyDescent="0.25">
      <c r="B26" s="3"/>
      <c r="C26" s="3"/>
      <c r="D26" s="3"/>
      <c r="E26" s="3"/>
    </row>
    <row r="27" spans="1:5" ht="30" customHeight="1" x14ac:dyDescent="0.25">
      <c r="A27" s="1">
        <v>11</v>
      </c>
      <c r="B27" s="238" t="s">
        <v>39</v>
      </c>
      <c r="C27" s="238"/>
      <c r="D27" s="238"/>
      <c r="E27" s="238"/>
    </row>
    <row r="28" spans="1:5" x14ac:dyDescent="0.25">
      <c r="B28" s="3"/>
      <c r="C28" s="3"/>
      <c r="D28" s="3"/>
      <c r="E28" s="3"/>
    </row>
    <row r="29" spans="1:5" ht="31.5" customHeight="1" x14ac:dyDescent="0.25">
      <c r="A29" s="1">
        <v>12</v>
      </c>
      <c r="B29" s="238" t="s">
        <v>40</v>
      </c>
      <c r="C29" s="238"/>
      <c r="D29" s="238"/>
      <c r="E29" s="238"/>
    </row>
    <row r="30" spans="1:5" x14ac:dyDescent="0.25">
      <c r="B30" s="7"/>
      <c r="C30" s="7"/>
      <c r="D30" s="7"/>
      <c r="E30" s="7"/>
    </row>
    <row r="31" spans="1:5" ht="34.5" customHeight="1" x14ac:dyDescent="0.25">
      <c r="A31" s="1">
        <v>13</v>
      </c>
      <c r="B31" s="238" t="s">
        <v>18</v>
      </c>
      <c r="C31" s="238"/>
      <c r="D31" s="238"/>
      <c r="E31" s="238"/>
    </row>
    <row r="32" spans="1:5" ht="16.5" customHeight="1" x14ac:dyDescent="0.25">
      <c r="B32" s="3"/>
      <c r="C32" s="3"/>
      <c r="D32" s="3"/>
      <c r="E32" s="3"/>
    </row>
    <row r="33" spans="1:5" ht="64.5" customHeight="1" x14ac:dyDescent="0.25">
      <c r="A33" s="1">
        <v>14</v>
      </c>
      <c r="B33" s="238" t="s">
        <v>19</v>
      </c>
      <c r="C33" s="238"/>
      <c r="D33" s="238"/>
      <c r="E33" s="238"/>
    </row>
    <row r="34" spans="1:5" ht="14.25" customHeight="1" x14ac:dyDescent="0.25">
      <c r="B34" s="3"/>
      <c r="C34" s="3"/>
      <c r="D34" s="3"/>
      <c r="E34" s="3"/>
    </row>
    <row r="35" spans="1:5" x14ac:dyDescent="0.25">
      <c r="A35" s="1">
        <v>15</v>
      </c>
      <c r="B35" s="242" t="s">
        <v>33</v>
      </c>
      <c r="C35" s="242"/>
      <c r="D35" s="242"/>
      <c r="E35" s="242"/>
    </row>
    <row r="36" spans="1:5" x14ac:dyDescent="0.25">
      <c r="B36" s="16" t="s">
        <v>7</v>
      </c>
      <c r="C36" s="236" t="s">
        <v>20</v>
      </c>
      <c r="D36" s="236"/>
      <c r="E36" s="236"/>
    </row>
    <row r="37" spans="1:5" x14ac:dyDescent="0.25">
      <c r="B37" s="5" t="s">
        <v>21</v>
      </c>
      <c r="C37" s="237" t="s">
        <v>28</v>
      </c>
      <c r="D37" s="237"/>
      <c r="E37" s="237"/>
    </row>
    <row r="38" spans="1:5" x14ac:dyDescent="0.25">
      <c r="B38" s="16" t="s">
        <v>22</v>
      </c>
      <c r="C38" s="236" t="s">
        <v>29</v>
      </c>
      <c r="D38" s="236"/>
      <c r="E38" s="236"/>
    </row>
    <row r="39" spans="1:5" x14ac:dyDescent="0.25">
      <c r="B39" s="5" t="s">
        <v>23</v>
      </c>
      <c r="C39" s="237" t="s">
        <v>32</v>
      </c>
      <c r="D39" s="237"/>
      <c r="E39" s="237"/>
    </row>
    <row r="40" spans="1:5" x14ac:dyDescent="0.25">
      <c r="B40" s="16" t="s">
        <v>9</v>
      </c>
      <c r="C40" s="236" t="s">
        <v>30</v>
      </c>
      <c r="D40" s="236"/>
      <c r="E40" s="236"/>
    </row>
    <row r="41" spans="1:5" x14ac:dyDescent="0.25">
      <c r="B41" s="5" t="s">
        <v>8</v>
      </c>
      <c r="C41" s="237" t="s">
        <v>24</v>
      </c>
      <c r="D41" s="237"/>
      <c r="E41" s="237"/>
    </row>
    <row r="42" spans="1:5" x14ac:dyDescent="0.25">
      <c r="B42" s="16" t="s">
        <v>25</v>
      </c>
      <c r="C42" s="236" t="s">
        <v>26</v>
      </c>
      <c r="D42" s="236"/>
      <c r="E42" s="236"/>
    </row>
    <row r="43" spans="1:5" x14ac:dyDescent="0.25">
      <c r="B43" s="5" t="s">
        <v>27</v>
      </c>
      <c r="C43" s="237" t="s">
        <v>31</v>
      </c>
      <c r="D43" s="237"/>
      <c r="E43" s="237"/>
    </row>
    <row r="44" spans="1:5" s="17" customFormat="1" x14ac:dyDescent="0.25">
      <c r="A44" s="18"/>
      <c r="B44" s="20"/>
      <c r="C44" s="21"/>
      <c r="D44" s="21"/>
      <c r="E44" s="21"/>
    </row>
    <row r="45" spans="1:5" s="17" customFormat="1" x14ac:dyDescent="0.25">
      <c r="A45" s="18">
        <v>16</v>
      </c>
      <c r="B45" s="24" t="s">
        <v>60</v>
      </c>
      <c r="C45" s="21"/>
      <c r="D45" s="21"/>
      <c r="E45" s="21"/>
    </row>
    <row r="46" spans="1:5" s="17" customFormat="1" ht="30" customHeight="1" x14ac:dyDescent="0.25">
      <c r="A46" s="18"/>
      <c r="B46" s="16" t="s">
        <v>47</v>
      </c>
      <c r="C46" s="236" t="s">
        <v>62</v>
      </c>
      <c r="D46" s="236"/>
      <c r="E46" s="236"/>
    </row>
    <row r="47" spans="1:5" s="17" customFormat="1" x14ac:dyDescent="0.25">
      <c r="A47" s="18"/>
      <c r="B47" s="20" t="s">
        <v>48</v>
      </c>
      <c r="C47" s="237" t="s">
        <v>61</v>
      </c>
      <c r="D47" s="237"/>
      <c r="E47" s="237"/>
    </row>
    <row r="48" spans="1:5" s="17" customFormat="1" ht="48.75" customHeight="1" x14ac:dyDescent="0.25">
      <c r="A48" s="18"/>
      <c r="B48" s="16" t="s">
        <v>49</v>
      </c>
      <c r="C48" s="236" t="s">
        <v>64</v>
      </c>
      <c r="D48" s="236"/>
      <c r="E48" s="236"/>
    </row>
    <row r="49" spans="1:5" s="17" customFormat="1" ht="29.25" customHeight="1" x14ac:dyDescent="0.25">
      <c r="A49" s="18"/>
      <c r="B49" s="20" t="s">
        <v>50</v>
      </c>
      <c r="C49" s="237" t="s">
        <v>63</v>
      </c>
      <c r="D49" s="237"/>
      <c r="E49" s="237"/>
    </row>
    <row r="50" spans="1:5" x14ac:dyDescent="0.25">
      <c r="B50" s="5"/>
      <c r="C50" s="6"/>
      <c r="D50" s="6"/>
      <c r="E50" s="6"/>
    </row>
    <row r="51" spans="1:5" s="148" customFormat="1" x14ac:dyDescent="0.25">
      <c r="A51" s="195">
        <v>17</v>
      </c>
      <c r="B51" s="196" t="s">
        <v>278</v>
      </c>
      <c r="C51" s="197"/>
      <c r="D51" s="197"/>
      <c r="E51" s="197"/>
    </row>
    <row r="52" spans="1:5" s="148" customFormat="1" x14ac:dyDescent="0.25">
      <c r="A52" s="195"/>
      <c r="B52" s="197" t="s">
        <v>279</v>
      </c>
      <c r="C52" s="197"/>
      <c r="D52" s="197"/>
      <c r="E52" s="197"/>
    </row>
    <row r="53" spans="1:5" s="148" customFormat="1" x14ac:dyDescent="0.25">
      <c r="A53" s="195"/>
      <c r="B53" s="198" t="s">
        <v>280</v>
      </c>
      <c r="C53" s="197"/>
      <c r="D53" s="197"/>
      <c r="E53" s="197"/>
    </row>
    <row r="55" spans="1:5" x14ac:dyDescent="0.25">
      <c r="B55" s="2"/>
    </row>
    <row r="56" spans="1:5" x14ac:dyDescent="0.25">
      <c r="A56" s="244" t="s">
        <v>251</v>
      </c>
      <c r="B56" s="244"/>
      <c r="C56" s="244"/>
      <c r="D56" s="244"/>
      <c r="E56" s="244"/>
    </row>
    <row r="57" spans="1:5" x14ac:dyDescent="0.25">
      <c r="A57" s="193" t="s">
        <v>252</v>
      </c>
      <c r="B57" s="148"/>
      <c r="C57" s="148"/>
      <c r="D57" s="148"/>
      <c r="E57" s="148"/>
    </row>
  </sheetData>
  <mergeCells count="34">
    <mergeCell ref="A56:E56"/>
    <mergeCell ref="B19:E19"/>
    <mergeCell ref="B35:E35"/>
    <mergeCell ref="C36:E36"/>
    <mergeCell ref="C37:E37"/>
    <mergeCell ref="C38:E38"/>
    <mergeCell ref="C39:E39"/>
    <mergeCell ref="C40:E40"/>
    <mergeCell ref="C41:E41"/>
    <mergeCell ref="C42:E42"/>
    <mergeCell ref="C43:E43"/>
    <mergeCell ref="B21:E21"/>
    <mergeCell ref="B23:E23"/>
    <mergeCell ref="B1:E1"/>
    <mergeCell ref="B2:E2"/>
    <mergeCell ref="B4:E4"/>
    <mergeCell ref="B15:E15"/>
    <mergeCell ref="B10:C10"/>
    <mergeCell ref="B11:C11"/>
    <mergeCell ref="B13:C13"/>
    <mergeCell ref="B12:C12"/>
    <mergeCell ref="B8:C8"/>
    <mergeCell ref="B9:C9"/>
    <mergeCell ref="B6:E6"/>
    <mergeCell ref="B17:E17"/>
    <mergeCell ref="C46:E46"/>
    <mergeCell ref="C47:E47"/>
    <mergeCell ref="C49:E49"/>
    <mergeCell ref="C48:E48"/>
    <mergeCell ref="B29:E29"/>
    <mergeCell ref="B31:E31"/>
    <mergeCell ref="B33:E33"/>
    <mergeCell ref="B25:E25"/>
    <mergeCell ref="B27:E27"/>
  </mergeCells>
  <pageMargins left="0.25" right="0.25" top="0.75" bottom="0.75" header="0.3" footer="0.3"/>
  <pageSetup orientation="portrait" horizontalDpi="1200" verticalDpi="1200" r:id="rId1"/>
  <headerFooter>
    <oddHeader>&amp;L&amp;"-,Bold"&amp;12Federal Funds Ledger Notes&amp;RPrinted &amp;D</oddHeader>
    <oddFooter>&amp;L&amp;8&amp;Z&amp;F&amp;C&amp;P of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W18"/>
  <sheetViews>
    <sheetView zoomScale="120" zoomScaleNormal="120" workbookViewId="0">
      <selection activeCell="B22" sqref="B22"/>
    </sheetView>
  </sheetViews>
  <sheetFormatPr defaultRowHeight="15" x14ac:dyDescent="0.25"/>
  <cols>
    <col min="2" max="2" width="32.5703125" customWidth="1"/>
    <col min="4" max="4" width="10.140625" customWidth="1"/>
    <col min="5" max="5" width="9.42578125" bestFit="1" customWidth="1"/>
    <col min="6" max="6" width="18.5703125" bestFit="1" customWidth="1"/>
    <col min="7" max="7" width="9.140625" style="148"/>
    <col min="8" max="8" width="32.5703125" style="148" customWidth="1"/>
    <col min="9" max="9" width="9.140625" style="148"/>
    <col min="10" max="10" width="13.42578125" style="148" bestFit="1" customWidth="1"/>
    <col min="11" max="11" width="9.42578125" style="148" bestFit="1" customWidth="1"/>
    <col min="12" max="12" width="9.42578125" style="148" customWidth="1"/>
    <col min="14" max="14" width="41.5703125" customWidth="1"/>
    <col min="16" max="17" width="9.42578125" bestFit="1" customWidth="1"/>
    <col min="20" max="20" width="41.5703125" customWidth="1"/>
  </cols>
  <sheetData>
    <row r="1" spans="1:23" ht="15.75" thickBot="1" x14ac:dyDescent="0.3">
      <c r="A1" s="245" t="s">
        <v>212</v>
      </c>
      <c r="B1" s="246"/>
      <c r="C1" s="252" t="s">
        <v>295</v>
      </c>
      <c r="D1" s="253"/>
      <c r="E1" s="254"/>
      <c r="G1" s="245" t="s">
        <v>212</v>
      </c>
      <c r="H1" s="246"/>
      <c r="I1" s="252" t="s">
        <v>257</v>
      </c>
      <c r="J1" s="253"/>
      <c r="K1" s="254"/>
      <c r="M1" s="245" t="s">
        <v>212</v>
      </c>
      <c r="N1" s="246"/>
      <c r="O1" s="247" t="s">
        <v>227</v>
      </c>
      <c r="P1" s="248"/>
      <c r="Q1" s="249"/>
      <c r="S1" s="245" t="s">
        <v>212</v>
      </c>
      <c r="T1" s="246"/>
      <c r="U1" s="247" t="s">
        <v>225</v>
      </c>
      <c r="V1" s="248"/>
      <c r="W1" s="249"/>
    </row>
    <row r="2" spans="1:23" ht="15.75" thickBot="1" x14ac:dyDescent="0.3">
      <c r="A2" s="120" t="s">
        <v>213</v>
      </c>
      <c r="B2" s="200" t="s">
        <v>214</v>
      </c>
      <c r="C2" s="207" t="s">
        <v>220</v>
      </c>
      <c r="D2" s="208" t="s">
        <v>221</v>
      </c>
      <c r="E2" s="209" t="s">
        <v>10</v>
      </c>
      <c r="G2" s="120" t="s">
        <v>213</v>
      </c>
      <c r="H2" s="200" t="s">
        <v>214</v>
      </c>
      <c r="I2" s="207" t="s">
        <v>220</v>
      </c>
      <c r="J2" s="208" t="s">
        <v>221</v>
      </c>
      <c r="K2" s="209" t="s">
        <v>10</v>
      </c>
      <c r="M2" s="120" t="s">
        <v>213</v>
      </c>
      <c r="N2" s="121" t="s">
        <v>214</v>
      </c>
      <c r="O2" s="204" t="s">
        <v>220</v>
      </c>
      <c r="P2" s="205" t="s">
        <v>221</v>
      </c>
      <c r="Q2" s="206" t="s">
        <v>10</v>
      </c>
      <c r="S2" s="120" t="s">
        <v>213</v>
      </c>
      <c r="T2" s="121" t="s">
        <v>214</v>
      </c>
      <c r="U2" s="204" t="s">
        <v>220</v>
      </c>
      <c r="V2" s="205" t="s">
        <v>221</v>
      </c>
      <c r="W2" s="206" t="s">
        <v>10</v>
      </c>
    </row>
    <row r="3" spans="1:23" ht="24" customHeight="1" x14ac:dyDescent="0.25">
      <c r="A3" s="169" t="s">
        <v>215</v>
      </c>
      <c r="B3" s="201" t="s">
        <v>216</v>
      </c>
      <c r="C3" s="169"/>
      <c r="D3" s="170">
        <v>125000</v>
      </c>
      <c r="E3" s="171">
        <f t="shared" ref="E3:E8" si="0">+D3+C3</f>
        <v>125000</v>
      </c>
      <c r="G3" s="169" t="s">
        <v>215</v>
      </c>
      <c r="H3" s="201" t="s">
        <v>216</v>
      </c>
      <c r="I3" s="169"/>
      <c r="J3" s="170">
        <v>125000</v>
      </c>
      <c r="K3" s="171">
        <f t="shared" ref="K3:K8" si="1">+J3+I3</f>
        <v>125000</v>
      </c>
      <c r="M3" s="169" t="s">
        <v>215</v>
      </c>
      <c r="N3" s="201" t="s">
        <v>216</v>
      </c>
      <c r="O3" s="211"/>
      <c r="P3" s="212">
        <v>125000</v>
      </c>
      <c r="Q3" s="213">
        <f>+P3+O3</f>
        <v>125000</v>
      </c>
      <c r="S3" s="169" t="s">
        <v>215</v>
      </c>
      <c r="T3" s="201" t="s">
        <v>216</v>
      </c>
      <c r="U3" s="211"/>
      <c r="V3" s="212">
        <f>+D3-J3</f>
        <v>0</v>
      </c>
      <c r="W3" s="213">
        <f>+E3-K3</f>
        <v>0</v>
      </c>
    </row>
    <row r="4" spans="1:23" x14ac:dyDescent="0.25">
      <c r="A4" s="169" t="s">
        <v>215</v>
      </c>
      <c r="B4" s="201" t="s">
        <v>232</v>
      </c>
      <c r="C4" s="169"/>
      <c r="D4" s="170">
        <v>0</v>
      </c>
      <c r="E4" s="171">
        <f t="shared" si="0"/>
        <v>0</v>
      </c>
      <c r="G4" s="169" t="s">
        <v>215</v>
      </c>
      <c r="H4" s="201" t="s">
        <v>232</v>
      </c>
      <c r="I4" s="169"/>
      <c r="J4" s="170">
        <v>0</v>
      </c>
      <c r="K4" s="171">
        <f t="shared" si="1"/>
        <v>0</v>
      </c>
      <c r="M4" s="169" t="s">
        <v>215</v>
      </c>
      <c r="N4" s="201" t="s">
        <v>232</v>
      </c>
      <c r="O4" s="169"/>
      <c r="P4" s="170">
        <v>0</v>
      </c>
      <c r="Q4" s="171">
        <f>+P4+O4</f>
        <v>0</v>
      </c>
      <c r="S4" s="169" t="s">
        <v>215</v>
      </c>
      <c r="T4" s="201" t="s">
        <v>232</v>
      </c>
      <c r="U4" s="169"/>
      <c r="V4" s="170">
        <f t="shared" ref="V4:V7" si="2">+D4-J4</f>
        <v>0</v>
      </c>
      <c r="W4" s="171">
        <f t="shared" ref="W4:W7" si="3">+E4-K4</f>
        <v>0</v>
      </c>
    </row>
    <row r="5" spans="1:23" s="148" customFormat="1" x14ac:dyDescent="0.25">
      <c r="A5" s="169" t="s">
        <v>215</v>
      </c>
      <c r="B5" s="201" t="s">
        <v>233</v>
      </c>
      <c r="C5" s="169"/>
      <c r="D5" s="170">
        <v>383024</v>
      </c>
      <c r="E5" s="171">
        <f t="shared" si="0"/>
        <v>383024</v>
      </c>
      <c r="G5" s="169" t="s">
        <v>215</v>
      </c>
      <c r="H5" s="201" t="s">
        <v>233</v>
      </c>
      <c r="I5" s="169"/>
      <c r="J5" s="170">
        <v>519889</v>
      </c>
      <c r="K5" s="171">
        <f t="shared" si="1"/>
        <v>519889</v>
      </c>
      <c r="M5" s="169" t="s">
        <v>215</v>
      </c>
      <c r="N5" s="201" t="s">
        <v>233</v>
      </c>
      <c r="O5" s="169"/>
      <c r="P5" s="170">
        <v>519889</v>
      </c>
      <c r="Q5" s="171">
        <f>+P5+O5</f>
        <v>519889</v>
      </c>
      <c r="S5" s="169" t="s">
        <v>215</v>
      </c>
      <c r="T5" s="201" t="s">
        <v>233</v>
      </c>
      <c r="U5" s="169"/>
      <c r="V5" s="170">
        <f t="shared" si="2"/>
        <v>-136865</v>
      </c>
      <c r="W5" s="171">
        <f t="shared" si="3"/>
        <v>-136865</v>
      </c>
    </row>
    <row r="6" spans="1:23" s="148" customFormat="1" x14ac:dyDescent="0.25">
      <c r="A6" s="169" t="s">
        <v>215</v>
      </c>
      <c r="B6" s="201" t="s">
        <v>234</v>
      </c>
      <c r="C6" s="169"/>
      <c r="D6" s="170">
        <v>0</v>
      </c>
      <c r="E6" s="171">
        <f t="shared" si="0"/>
        <v>0</v>
      </c>
      <c r="G6" s="169" t="s">
        <v>215</v>
      </c>
      <c r="H6" s="201" t="s">
        <v>234</v>
      </c>
      <c r="I6" s="169"/>
      <c r="J6" s="170">
        <v>0</v>
      </c>
      <c r="K6" s="171">
        <f t="shared" si="1"/>
        <v>0</v>
      </c>
      <c r="M6" s="169" t="s">
        <v>215</v>
      </c>
      <c r="N6" s="201" t="s">
        <v>234</v>
      </c>
      <c r="O6" s="169"/>
      <c r="P6" s="170">
        <v>0</v>
      </c>
      <c r="Q6" s="171">
        <f>+P6+O6</f>
        <v>0</v>
      </c>
      <c r="S6" s="169" t="s">
        <v>215</v>
      </c>
      <c r="T6" s="201" t="s">
        <v>234</v>
      </c>
      <c r="U6" s="169"/>
      <c r="V6" s="170">
        <f t="shared" si="2"/>
        <v>0</v>
      </c>
      <c r="W6" s="171">
        <f t="shared" si="3"/>
        <v>0</v>
      </c>
    </row>
    <row r="7" spans="1:23" x14ac:dyDescent="0.25">
      <c r="A7" s="169" t="s">
        <v>215</v>
      </c>
      <c r="B7" s="201" t="s">
        <v>217</v>
      </c>
      <c r="C7" s="169"/>
      <c r="D7" s="170">
        <v>312202</v>
      </c>
      <c r="E7" s="171">
        <f t="shared" si="0"/>
        <v>312202</v>
      </c>
      <c r="G7" s="169" t="s">
        <v>215</v>
      </c>
      <c r="H7" s="201" t="s">
        <v>217</v>
      </c>
      <c r="I7" s="169"/>
      <c r="J7" s="170">
        <v>437733</v>
      </c>
      <c r="K7" s="171">
        <f t="shared" si="1"/>
        <v>437733</v>
      </c>
      <c r="M7" s="169" t="s">
        <v>215</v>
      </c>
      <c r="N7" s="201" t="s">
        <v>217</v>
      </c>
      <c r="O7" s="169"/>
      <c r="P7" s="170">
        <v>437733</v>
      </c>
      <c r="Q7" s="171">
        <f>+P7+O7</f>
        <v>437733</v>
      </c>
      <c r="S7" s="169" t="s">
        <v>215</v>
      </c>
      <c r="T7" s="201" t="s">
        <v>217</v>
      </c>
      <c r="U7" s="169"/>
      <c r="V7" s="170">
        <f t="shared" si="2"/>
        <v>-125531</v>
      </c>
      <c r="W7" s="171">
        <f t="shared" si="3"/>
        <v>-125531</v>
      </c>
    </row>
    <row r="8" spans="1:23" x14ac:dyDescent="0.25">
      <c r="A8" s="122"/>
      <c r="B8" s="202" t="s">
        <v>218</v>
      </c>
      <c r="C8" s="210">
        <v>0</v>
      </c>
      <c r="D8" s="124">
        <f>SUM(D3:D7)</f>
        <v>820226</v>
      </c>
      <c r="E8" s="171">
        <f t="shared" si="0"/>
        <v>820226</v>
      </c>
      <c r="G8" s="169"/>
      <c r="H8" s="202" t="s">
        <v>218</v>
      </c>
      <c r="I8" s="210">
        <v>0</v>
      </c>
      <c r="J8" s="124">
        <f>SUM(J3:J7)</f>
        <v>1082622</v>
      </c>
      <c r="K8" s="171">
        <f t="shared" si="1"/>
        <v>1082622</v>
      </c>
      <c r="M8" s="122"/>
      <c r="N8" s="202" t="s">
        <v>218</v>
      </c>
      <c r="O8" s="210">
        <v>0</v>
      </c>
      <c r="P8" s="124">
        <f>SUM(P3:P7)</f>
        <v>1082622</v>
      </c>
      <c r="Q8" s="150">
        <f>SUM(Q3:Q7)</f>
        <v>1082622</v>
      </c>
      <c r="S8" s="122"/>
      <c r="T8" s="202" t="s">
        <v>218</v>
      </c>
      <c r="U8" s="210">
        <v>0</v>
      </c>
      <c r="V8" s="124">
        <f>SUM(V3:V7)</f>
        <v>-262396</v>
      </c>
      <c r="W8" s="150">
        <f>SUM(W3:W7)</f>
        <v>-262396</v>
      </c>
    </row>
    <row r="9" spans="1:23" ht="15.75" thickBot="1" x14ac:dyDescent="0.3">
      <c r="A9" s="123"/>
      <c r="B9" s="203" t="s">
        <v>219</v>
      </c>
      <c r="C9" s="250" t="s">
        <v>222</v>
      </c>
      <c r="D9" s="251"/>
      <c r="E9" s="125">
        <f>E8*0.949</f>
        <v>778394.47399999993</v>
      </c>
      <c r="G9" s="123"/>
      <c r="H9" s="203" t="s">
        <v>219</v>
      </c>
      <c r="I9" s="250" t="s">
        <v>222</v>
      </c>
      <c r="J9" s="251"/>
      <c r="K9" s="125">
        <f>K8*0.949</f>
        <v>1027408.2779999999</v>
      </c>
      <c r="M9" s="123"/>
      <c r="N9" s="203" t="s">
        <v>219</v>
      </c>
      <c r="O9" s="250" t="s">
        <v>222</v>
      </c>
      <c r="P9" s="251"/>
      <c r="Q9" s="125">
        <f>Q8*0.949</f>
        <v>1027408.2779999999</v>
      </c>
      <c r="S9" s="123"/>
      <c r="T9" s="203" t="s">
        <v>219</v>
      </c>
      <c r="U9" s="250" t="s">
        <v>222</v>
      </c>
      <c r="V9" s="251"/>
      <c r="W9" s="125">
        <f>W8*0.949</f>
        <v>-249013.80399999997</v>
      </c>
    </row>
    <row r="10" spans="1:23" x14ac:dyDescent="0.25">
      <c r="D10" t="s">
        <v>223</v>
      </c>
      <c r="J10" s="148" t="s">
        <v>223</v>
      </c>
    </row>
    <row r="11" spans="1:23" x14ac:dyDescent="0.25">
      <c r="D11" s="25">
        <f>E9-'Federal Funds Transactions'!U5</f>
        <v>0.47399999992921948</v>
      </c>
      <c r="E11" t="s">
        <v>224</v>
      </c>
      <c r="J11" s="25"/>
    </row>
    <row r="13" spans="1:23" x14ac:dyDescent="0.25">
      <c r="A13" s="148"/>
    </row>
    <row r="15" spans="1:23" x14ac:dyDescent="0.25">
      <c r="A15" s="148"/>
      <c r="B15" s="148"/>
    </row>
    <row r="16" spans="1:23" x14ac:dyDescent="0.25">
      <c r="A16" s="148"/>
      <c r="B16" s="148"/>
    </row>
    <row r="17" spans="1:2" x14ac:dyDescent="0.25">
      <c r="A17" s="148"/>
      <c r="B17" s="148"/>
    </row>
    <row r="18" spans="1:2" x14ac:dyDescent="0.25">
      <c r="B18" s="148"/>
    </row>
  </sheetData>
  <mergeCells count="12">
    <mergeCell ref="S1:T1"/>
    <mergeCell ref="U1:W1"/>
    <mergeCell ref="U9:V9"/>
    <mergeCell ref="A1:B1"/>
    <mergeCell ref="C1:E1"/>
    <mergeCell ref="C9:D9"/>
    <mergeCell ref="M1:N1"/>
    <mergeCell ref="O1:Q1"/>
    <mergeCell ref="O9:P9"/>
    <mergeCell ref="G1:H1"/>
    <mergeCell ref="I1:K1"/>
    <mergeCell ref="I9:J9"/>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Federal Funds Transactions</vt:lpstr>
      <vt:lpstr>Regional Loans and Transfers</vt:lpstr>
      <vt:lpstr>Notes</vt:lpstr>
      <vt:lpstr>FY25 Apportionments</vt:lpstr>
      <vt:lpstr>'Federal Funds Transactions'!Print_Area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Lisa</dc:creator>
  <cp:lastModifiedBy>Katherine Koster</cp:lastModifiedBy>
  <cp:lastPrinted>2014-07-03T17:00:58Z</cp:lastPrinted>
  <dcterms:created xsi:type="dcterms:W3CDTF">2013-05-11T20:19:37Z</dcterms:created>
  <dcterms:modified xsi:type="dcterms:W3CDTF">2025-03-05T15:34:53Z</dcterms:modified>
</cp:coreProperties>
</file>