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queryTables/queryTable2.xml" ContentType="application/vnd.openxmlformats-officedocument.spreadsheetml.queryTable+xml"/>
  <Override PartName="/xl/tables/table4.xml" ContentType="application/vnd.openxmlformats-officedocument.spreadsheetml.table+xml"/>
  <Override PartName="/xl/queryTables/queryTable3.xml" ContentType="application/vnd.openxmlformats-officedocument.spreadsheetml.queryTable+xml"/>
  <Override PartName="/xl/tables/table5.xml" ContentType="application/vnd.openxmlformats-officedocument.spreadsheetml.table+xml"/>
  <Override PartName="/xl/queryTables/queryTable4.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codeName="ThisWorkbook"/>
  <mc:AlternateContent xmlns:mc="http://schemas.openxmlformats.org/markup-compatibility/2006">
    <mc:Choice Requires="x15">
      <x15ac:absPath xmlns:x15ac="http://schemas.microsoft.com/office/spreadsheetml/2010/11/ac" url="G:\FMS\RESOURCE\Fiscal Year Files\FY 2026\2026 Ledgers\FY 2026 - Current\"/>
    </mc:Choice>
  </mc:AlternateContent>
  <xr:revisionPtr revIDLastSave="0" documentId="13_ncr:1_{260B25A4-50ED-46C7-AFB9-20A839A43912}" xr6:coauthVersionLast="47" xr6:coauthVersionMax="47" xr10:uidLastSave="{00000000-0000-0000-0000-000000000000}"/>
  <bookViews>
    <workbookView xWindow="-120" yWindow="-120" windowWidth="29040" windowHeight="15720" xr2:uid="{00000000-000D-0000-FFFF-FFFF00000000}"/>
  </bookViews>
  <sheets>
    <sheet name="Federal Funds Transactions" sheetId="1" r:id="rId1"/>
    <sheet name="Regional Loans and Transfers" sheetId="3" r:id="rId2"/>
    <sheet name="Notes" sheetId="2" r:id="rId3"/>
    <sheet name="FY26 Apportionments" sheetId="5" r:id="rId4"/>
  </sheets>
  <definedNames>
    <definedName name="CAG_ApportLoans_qry" localSheetId="1">'Regional Loans and Transfers'!#REF!</definedName>
    <definedName name="CAG_ApportTransfers_qry_1" localSheetId="1">'Regional Loans and Transfers'!#REF!</definedName>
    <definedName name="CAG_Ledger_Authorized" localSheetId="0" hidden="1">'Federal Funds Transactions'!#REF!</definedName>
    <definedName name="CAG_Ledger_Authorized.qry_1" localSheetId="0" hidden="1">'Federal Funds Transactions'!#REF!</definedName>
    <definedName name="CAG_Ledger_Not_Authorized" localSheetId="0" hidden="1">'Federal Funds Transactions'!#REF!</definedName>
    <definedName name="CAG_Ledger_NotAuthorized.qry" localSheetId="0" hidden="1">'Federal Funds Transactions'!#REF!</definedName>
    <definedName name="CAG_OALoans_qry" localSheetId="1">'Regional Loans and Transfers'!#REF!</definedName>
    <definedName name="CAG_OATransfers_qry" localSheetId="1">'Regional Loans and Transfers'!#REF!</definedName>
    <definedName name="_xlnm.Print_Area" localSheetId="0">'Federal Funds Transactions'!$A$1:$W$56</definedName>
    <definedName name="Query_from_MS_Access_Database" localSheetId="0" hidden="1">'Federal Funds Transactions'!$A$16:$AH$22</definedName>
    <definedName name="Query_from_MS_Access_Database" localSheetId="1" hidden="1">'Regional Loans and Transfers'!$A$11:$AE$59</definedName>
    <definedName name="Query_from_MS_Access_Database_1" localSheetId="0" hidden="1">'Federal Funds Transactions'!$A$33:$AH$42</definedName>
    <definedName name="Query_from_MS_Access_Database_1" localSheetId="1" hidden="1">'Regional Loans and Transfers'!$A$270:$AE$316</definedName>
    <definedName name="WACOGLedgerAuthorized" localSheetId="0" hidden="1">'Federal Funds Transactions'!#REF!</definedName>
    <definedName name="WACOGqryLedgerApports" localSheetId="1" hidden="1">'Regional Loans and Transfers'!#REF!</definedName>
    <definedName name="WACOGqryLedgerOA" localSheetId="1" hidden="1">'Regional Loans and Transfers'!#REF!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17" i="1" l="1"/>
  <c r="AI18" i="1"/>
  <c r="AI19" i="1"/>
  <c r="AI20" i="1"/>
  <c r="AI21" i="1"/>
  <c r="AI22" i="1"/>
  <c r="AI34" i="1"/>
  <c r="AI35" i="1"/>
  <c r="AI42" i="1"/>
  <c r="AI41" i="1"/>
  <c r="AI38" i="1"/>
  <c r="AI39" i="1"/>
  <c r="AI36" i="1"/>
  <c r="AI40" i="1"/>
  <c r="AI37" i="1"/>
  <c r="C4" i="5" l="1"/>
  <c r="D15" i="5" l="1"/>
  <c r="D13" i="5"/>
  <c r="D12" i="2" l="1"/>
  <c r="AJ12" i="1" l="1"/>
  <c r="AH12" i="1"/>
  <c r="AG12" i="1"/>
  <c r="AF12" i="1"/>
  <c r="AE12" i="1"/>
  <c r="AD12" i="1"/>
  <c r="AC12" i="1"/>
  <c r="AB12" i="1"/>
  <c r="AA12" i="1"/>
  <c r="Z12" i="1"/>
  <c r="Y12" i="1"/>
  <c r="X12" i="1"/>
  <c r="W12" i="1"/>
  <c r="V12" i="1"/>
  <c r="U12" i="1"/>
  <c r="T12" i="1"/>
  <c r="S12" i="1"/>
  <c r="R12" i="1"/>
  <c r="Q12" i="1"/>
  <c r="P12" i="1"/>
  <c r="O12" i="1"/>
  <c r="N12" i="1"/>
  <c r="M12" i="1"/>
  <c r="AJ11" i="1"/>
  <c r="AH11" i="1"/>
  <c r="AG11" i="1"/>
  <c r="AF11" i="1"/>
  <c r="AE11" i="1"/>
  <c r="AD11" i="1"/>
  <c r="AC11" i="1"/>
  <c r="AB11" i="1"/>
  <c r="AA11" i="1"/>
  <c r="Z11" i="1"/>
  <c r="Y11" i="1"/>
  <c r="X11" i="1"/>
  <c r="W11" i="1"/>
  <c r="V11" i="1"/>
  <c r="U11" i="1"/>
  <c r="T11" i="1"/>
  <c r="S11" i="1"/>
  <c r="R11" i="1"/>
  <c r="Q11" i="1"/>
  <c r="P11" i="1"/>
  <c r="O11" i="1"/>
  <c r="N11" i="1"/>
  <c r="M11" i="1"/>
  <c r="AJ10" i="1"/>
  <c r="AH10" i="1"/>
  <c r="AG10" i="1"/>
  <c r="AF10" i="1"/>
  <c r="AE10" i="1"/>
  <c r="AD10" i="1"/>
  <c r="AC10" i="1"/>
  <c r="AB10" i="1"/>
  <c r="AA10" i="1"/>
  <c r="Z10" i="1"/>
  <c r="Y10" i="1"/>
  <c r="X10" i="1"/>
  <c r="W10" i="1"/>
  <c r="V10" i="1"/>
  <c r="U10" i="1"/>
  <c r="T10" i="1"/>
  <c r="S10" i="1"/>
  <c r="R10" i="1"/>
  <c r="Q10" i="1"/>
  <c r="P10" i="1"/>
  <c r="O10" i="1"/>
  <c r="N10" i="1"/>
  <c r="M10" i="1"/>
  <c r="AJ9" i="1"/>
  <c r="AH9" i="1"/>
  <c r="AG9" i="1"/>
  <c r="AF9" i="1"/>
  <c r="AE9" i="1"/>
  <c r="AD9" i="1"/>
  <c r="AC9" i="1"/>
  <c r="AC4" i="1" s="1"/>
  <c r="AB9" i="1"/>
  <c r="AA9" i="1"/>
  <c r="Z9" i="1"/>
  <c r="Y9" i="1"/>
  <c r="X9" i="1"/>
  <c r="W9" i="1"/>
  <c r="V9" i="1"/>
  <c r="U9" i="1"/>
  <c r="T9" i="1"/>
  <c r="S9" i="1"/>
  <c r="R9" i="1"/>
  <c r="Q9" i="1"/>
  <c r="P9" i="1"/>
  <c r="O9" i="1"/>
  <c r="N9" i="1"/>
  <c r="M9" i="1"/>
  <c r="AJ8" i="1"/>
  <c r="AH8" i="1"/>
  <c r="AG8" i="1"/>
  <c r="AF8" i="1"/>
  <c r="AE8" i="1"/>
  <c r="AD8" i="1"/>
  <c r="AC8" i="1"/>
  <c r="AB8" i="1"/>
  <c r="AA8" i="1"/>
  <c r="Z8" i="1"/>
  <c r="Y8" i="1"/>
  <c r="X8" i="1"/>
  <c r="W8" i="1"/>
  <c r="V8" i="1"/>
  <c r="U8" i="1"/>
  <c r="T8" i="1"/>
  <c r="S8" i="1"/>
  <c r="R8" i="1"/>
  <c r="Q8" i="1"/>
  <c r="P8" i="1"/>
  <c r="O8" i="1"/>
  <c r="N8" i="1"/>
  <c r="M8" i="1"/>
  <c r="J19" i="5"/>
  <c r="K18" i="5"/>
  <c r="K17" i="5"/>
  <c r="K16" i="5"/>
  <c r="K15" i="5"/>
  <c r="K14" i="5"/>
  <c r="K13" i="5"/>
  <c r="K12" i="5"/>
  <c r="K11" i="5"/>
  <c r="K10" i="5"/>
  <c r="K9" i="5"/>
  <c r="K8" i="5"/>
  <c r="K7" i="5"/>
  <c r="K6" i="5"/>
  <c r="K5" i="5"/>
  <c r="I4" i="5"/>
  <c r="I19" i="5" s="1"/>
  <c r="K3" i="5"/>
  <c r="K4" i="5" l="1"/>
  <c r="K19" i="5" s="1"/>
  <c r="K20" i="5" s="1"/>
  <c r="J23" i="5" s="1"/>
  <c r="AC6" i="1" l="1"/>
  <c r="AI5" i="1"/>
  <c r="V6" i="1"/>
  <c r="AG51" i="3" l="1"/>
  <c r="D13" i="2" l="1"/>
  <c r="AJ7" i="1" l="1"/>
  <c r="AG7" i="1"/>
  <c r="AF7" i="1"/>
  <c r="AE7" i="1"/>
  <c r="AD7" i="1"/>
  <c r="AC7" i="1"/>
  <c r="AB7" i="1"/>
  <c r="AA7" i="1"/>
  <c r="Z7" i="1"/>
  <c r="Y7" i="1"/>
  <c r="X7" i="1"/>
  <c r="W7" i="1"/>
  <c r="V7" i="1"/>
  <c r="U7" i="1"/>
  <c r="T7" i="1"/>
  <c r="S7" i="1"/>
  <c r="R7" i="1"/>
  <c r="Q7" i="1"/>
  <c r="P7" i="1"/>
  <c r="O7" i="1"/>
  <c r="N7" i="1"/>
  <c r="M7" i="1"/>
  <c r="AH4" i="5"/>
  <c r="AH5" i="5"/>
  <c r="AH6" i="5"/>
  <c r="AH7" i="5"/>
  <c r="AH8" i="5"/>
  <c r="AH9" i="5"/>
  <c r="AH10" i="5"/>
  <c r="AH11" i="5"/>
  <c r="AH12" i="5"/>
  <c r="AH13" i="5"/>
  <c r="AH14" i="5"/>
  <c r="AH15" i="5"/>
  <c r="AH16" i="5"/>
  <c r="AH17" i="5"/>
  <c r="AH18" i="5"/>
  <c r="AH3" i="5"/>
  <c r="AG18" i="5"/>
  <c r="AG5" i="5"/>
  <c r="AG6" i="5"/>
  <c r="AG7" i="5"/>
  <c r="AG8" i="5"/>
  <c r="AG9" i="5"/>
  <c r="AG10" i="5"/>
  <c r="AG11" i="5"/>
  <c r="AG12" i="5"/>
  <c r="AG13" i="5"/>
  <c r="AG14" i="5"/>
  <c r="AG15" i="5"/>
  <c r="AG16" i="5"/>
  <c r="AG17" i="5"/>
  <c r="AG3" i="5"/>
  <c r="P19" i="5"/>
  <c r="Q18" i="5"/>
  <c r="Q17" i="5"/>
  <c r="Q16" i="5"/>
  <c r="Q15" i="5"/>
  <c r="Q14" i="5"/>
  <c r="Q13" i="5"/>
  <c r="Q12" i="5"/>
  <c r="Q11" i="5"/>
  <c r="Q10" i="5"/>
  <c r="Q9" i="5"/>
  <c r="Q8" i="5"/>
  <c r="Q7" i="5"/>
  <c r="Q6" i="5"/>
  <c r="Q5" i="5"/>
  <c r="O4" i="5"/>
  <c r="O19" i="5" s="1"/>
  <c r="Q3" i="5"/>
  <c r="AG4" i="5" l="1"/>
  <c r="Q4" i="5"/>
  <c r="Q19" i="5" s="1"/>
  <c r="Q20" i="5" s="1"/>
  <c r="P23" i="5" s="1"/>
  <c r="V19" i="5" l="1"/>
  <c r="U19" i="5"/>
  <c r="W18" i="5"/>
  <c r="W17" i="5"/>
  <c r="W16" i="5"/>
  <c r="W15" i="5"/>
  <c r="W14" i="5"/>
  <c r="W13" i="5"/>
  <c r="W12" i="5"/>
  <c r="W11" i="5"/>
  <c r="W10" i="5"/>
  <c r="W9" i="5"/>
  <c r="W8" i="5"/>
  <c r="W7" i="5"/>
  <c r="W6" i="5"/>
  <c r="W5" i="5"/>
  <c r="W4" i="5"/>
  <c r="W3" i="5"/>
  <c r="W19" i="5" s="1"/>
  <c r="W20" i="5" s="1"/>
  <c r="AI29" i="1" l="1"/>
  <c r="V46" i="1" l="1"/>
  <c r="AI4" i="1" l="1"/>
  <c r="O6" i="1"/>
  <c r="P6" i="1"/>
  <c r="Q6" i="1"/>
  <c r="R6" i="1"/>
  <c r="S6" i="1"/>
  <c r="T6" i="1"/>
  <c r="U6" i="1"/>
  <c r="Y6" i="1"/>
  <c r="Z6" i="1"/>
  <c r="AA6" i="1"/>
  <c r="AB6" i="1"/>
  <c r="AE6" i="1"/>
  <c r="AF6" i="1"/>
  <c r="AH6" i="1"/>
  <c r="AI46" i="1"/>
  <c r="AC5" i="5"/>
  <c r="AC6" i="5"/>
  <c r="AC7" i="5"/>
  <c r="AC8" i="5"/>
  <c r="AC9" i="5"/>
  <c r="AC10" i="5"/>
  <c r="AC11" i="5"/>
  <c r="AC12" i="5"/>
  <c r="AC13" i="5"/>
  <c r="AC14" i="5"/>
  <c r="AC15" i="5"/>
  <c r="AC16" i="5"/>
  <c r="AC17" i="5"/>
  <c r="AC18" i="5"/>
  <c r="AA19" i="5"/>
  <c r="AB19" i="5"/>
  <c r="V29" i="1"/>
  <c r="V53" i="1"/>
  <c r="N29" i="1"/>
  <c r="N46" i="1"/>
  <c r="N53" i="1"/>
  <c r="AB29" i="1"/>
  <c r="T29" i="1"/>
  <c r="AH7" i="1"/>
  <c r="AH29" i="1"/>
  <c r="AH46" i="1"/>
  <c r="AH53" i="1"/>
  <c r="AI10" i="5"/>
  <c r="AI14" i="5"/>
  <c r="AI7" i="5"/>
  <c r="AI8" i="5"/>
  <c r="AI9" i="5"/>
  <c r="AI12" i="5"/>
  <c r="AI13" i="5"/>
  <c r="AI15" i="5"/>
  <c r="AI17" i="5"/>
  <c r="AI18" i="5"/>
  <c r="AI4" i="5"/>
  <c r="AI5" i="5"/>
  <c r="AI6" i="5"/>
  <c r="AI11" i="5"/>
  <c r="AI16" i="5"/>
  <c r="AA29" i="1"/>
  <c r="Q29" i="1"/>
  <c r="E5" i="5"/>
  <c r="E6" i="5"/>
  <c r="E7" i="5"/>
  <c r="E8" i="5"/>
  <c r="E9" i="5"/>
  <c r="E10" i="5"/>
  <c r="E11" i="5"/>
  <c r="E12" i="5"/>
  <c r="E13" i="5"/>
  <c r="E14" i="5"/>
  <c r="E15" i="5"/>
  <c r="E16" i="5"/>
  <c r="E17" i="5"/>
  <c r="E18" i="5"/>
  <c r="D19" i="5"/>
  <c r="AH19" i="5" s="1"/>
  <c r="C19" i="5"/>
  <c r="AG19" i="5" s="1"/>
  <c r="U53" i="1"/>
  <c r="AF53" i="1"/>
  <c r="AG53" i="1"/>
  <c r="AC53" i="1"/>
  <c r="AD53" i="1"/>
  <c r="AE53" i="1"/>
  <c r="O53" i="1"/>
  <c r="P53" i="1"/>
  <c r="Q53" i="1"/>
  <c r="R53" i="1"/>
  <c r="S53" i="1"/>
  <c r="T53" i="1"/>
  <c r="W53" i="1"/>
  <c r="X53" i="1"/>
  <c r="Y53" i="1"/>
  <c r="Z53" i="1"/>
  <c r="AA53" i="1"/>
  <c r="AB53" i="1"/>
  <c r="P46" i="1"/>
  <c r="O46" i="1"/>
  <c r="Q46" i="1"/>
  <c r="R46" i="1"/>
  <c r="S46" i="1"/>
  <c r="T46" i="1"/>
  <c r="U46" i="1"/>
  <c r="W46" i="1"/>
  <c r="X46" i="1"/>
  <c r="Y46" i="1"/>
  <c r="Z46" i="1"/>
  <c r="AA46" i="1"/>
  <c r="AB46" i="1"/>
  <c r="AC46" i="1"/>
  <c r="AD46" i="1"/>
  <c r="AE46" i="1"/>
  <c r="AF46" i="1"/>
  <c r="AG46" i="1"/>
  <c r="M46" i="1"/>
  <c r="O29" i="1"/>
  <c r="P29" i="1"/>
  <c r="R29" i="1"/>
  <c r="S29" i="1"/>
  <c r="U29" i="1"/>
  <c r="W29" i="1"/>
  <c r="X29" i="1"/>
  <c r="Y29" i="1"/>
  <c r="Z29" i="1"/>
  <c r="AC29" i="1"/>
  <c r="AD29" i="1"/>
  <c r="AE29" i="1"/>
  <c r="AF29" i="1"/>
  <c r="AG29" i="1"/>
  <c r="M29" i="1"/>
  <c r="AC4" i="5"/>
  <c r="AC3" i="5"/>
  <c r="E4" i="5"/>
  <c r="E3" i="5"/>
  <c r="AI3" i="5"/>
  <c r="M53" i="1"/>
  <c r="B5" i="3"/>
  <c r="AJ53" i="1"/>
  <c r="A7" i="3"/>
  <c r="A1" i="3"/>
  <c r="AI6" i="1" l="1"/>
  <c r="AJ6" i="1" s="1"/>
  <c r="O48" i="1"/>
  <c r="P48" i="1"/>
  <c r="AJ4" i="1"/>
  <c r="S13" i="1"/>
  <c r="S30" i="1" s="1"/>
  <c r="S47" i="1" s="1"/>
  <c r="S52" i="1" s="1"/>
  <c r="S54" i="1" s="1"/>
  <c r="AG13" i="1"/>
  <c r="AG30" i="1" s="1"/>
  <c r="AG47" i="1" s="1"/>
  <c r="AG52" i="1" s="1"/>
  <c r="AG54" i="1" s="1"/>
  <c r="AG55" i="1" s="1"/>
  <c r="D14" i="2"/>
  <c r="E12" i="2" s="1"/>
  <c r="X48" i="1"/>
  <c r="R48" i="1"/>
  <c r="E19" i="5"/>
  <c r="E20" i="5" s="1"/>
  <c r="U13" i="1"/>
  <c r="U30" i="1" s="1"/>
  <c r="U47" i="1" s="1"/>
  <c r="U52" i="1" s="1"/>
  <c r="U54" i="1" s="1"/>
  <c r="W13" i="1"/>
  <c r="W30" i="1" s="1"/>
  <c r="W47" i="1" s="1"/>
  <c r="W52" i="1" s="1"/>
  <c r="W54" i="1" s="1"/>
  <c r="O13" i="1"/>
  <c r="O30" i="1" s="1"/>
  <c r="O47" i="1" s="1"/>
  <c r="O52" i="1" s="1"/>
  <c r="O54" i="1" s="1"/>
  <c r="AC19" i="5"/>
  <c r="AC20" i="5" s="1"/>
  <c r="Z48" i="1"/>
  <c r="AI19" i="5"/>
  <c r="AI20" i="5" s="1"/>
  <c r="M48" i="1"/>
  <c r="AG48" i="1"/>
  <c r="M13" i="1"/>
  <c r="M30" i="1" s="1"/>
  <c r="M47" i="1" s="1"/>
  <c r="M52" i="1" s="1"/>
  <c r="M54" i="1" s="1"/>
  <c r="Y13" i="1"/>
  <c r="Y30" i="1" s="1"/>
  <c r="Y47" i="1" s="1"/>
  <c r="Y52" i="1" s="1"/>
  <c r="Y54" i="1" s="1"/>
  <c r="AH48" i="1"/>
  <c r="AF13" i="1"/>
  <c r="AF30" i="1" s="1"/>
  <c r="AF47" i="1" s="1"/>
  <c r="AF52" i="1" s="1"/>
  <c r="AF54" i="1" s="1"/>
  <c r="AE48" i="1"/>
  <c r="N13" i="1"/>
  <c r="N30" i="1" s="1"/>
  <c r="N47" i="1" s="1"/>
  <c r="N52" i="1" s="1"/>
  <c r="N54" i="1" s="1"/>
  <c r="AA13" i="1"/>
  <c r="AA30" i="1" s="1"/>
  <c r="AA47" i="1" s="1"/>
  <c r="AA52" i="1" s="1"/>
  <c r="AA54" i="1" s="1"/>
  <c r="AB13" i="1"/>
  <c r="AB30" i="1" s="1"/>
  <c r="AB47" i="1" s="1"/>
  <c r="AB52" i="1" s="1"/>
  <c r="AB54" i="1" s="1"/>
  <c r="AE13" i="1"/>
  <c r="AE30" i="1" s="1"/>
  <c r="AE47" i="1" s="1"/>
  <c r="AE52" i="1" s="1"/>
  <c r="AE54" i="1" s="1"/>
  <c r="Z13" i="1"/>
  <c r="Z30" i="1" s="1"/>
  <c r="Z47" i="1" s="1"/>
  <c r="Z52" i="1" s="1"/>
  <c r="Z54" i="1" s="1"/>
  <c r="AI48" i="1"/>
  <c r="W48" i="1"/>
  <c r="V48" i="1"/>
  <c r="S48" i="1"/>
  <c r="U48" i="1"/>
  <c r="N48" i="1"/>
  <c r="AC48" i="1"/>
  <c r="T48" i="1"/>
  <c r="AI53" i="1"/>
  <c r="Q48" i="1"/>
  <c r="AI7" i="1"/>
  <c r="AC13" i="1"/>
  <c r="AC30" i="1" s="1"/>
  <c r="AC47" i="1" s="1"/>
  <c r="AC52" i="1" s="1"/>
  <c r="AC54" i="1" s="1"/>
  <c r="AI8" i="1"/>
  <c r="AI9" i="1"/>
  <c r="V13" i="1"/>
  <c r="V30" i="1" s="1"/>
  <c r="V47" i="1" s="1"/>
  <c r="AD13" i="1"/>
  <c r="AD30" i="1" s="1"/>
  <c r="AD47" i="1" s="1"/>
  <c r="AD52" i="1" s="1"/>
  <c r="AD54" i="1" s="1"/>
  <c r="AI10" i="1"/>
  <c r="X13" i="1"/>
  <c r="X30" i="1" s="1"/>
  <c r="X47" i="1" s="1"/>
  <c r="X55" i="1" s="1"/>
  <c r="AH13" i="1"/>
  <c r="AH30" i="1" s="1"/>
  <c r="AH47" i="1" s="1"/>
  <c r="AH52" i="1" s="1"/>
  <c r="AH54" i="1" s="1"/>
  <c r="AI11" i="1"/>
  <c r="R13" i="1"/>
  <c r="R30" i="1" s="1"/>
  <c r="R47" i="1" s="1"/>
  <c r="R52" i="1" s="1"/>
  <c r="R54" i="1" s="1"/>
  <c r="AB48" i="1"/>
  <c r="AA48" i="1"/>
  <c r="AF48" i="1"/>
  <c r="AD48" i="1"/>
  <c r="Y48" i="1"/>
  <c r="P13" i="1"/>
  <c r="P30" i="1" s="1"/>
  <c r="P47" i="1" s="1"/>
  <c r="T13" i="1"/>
  <c r="T30" i="1" s="1"/>
  <c r="T47" i="1" s="1"/>
  <c r="T52" i="1" s="1"/>
  <c r="T54" i="1" s="1"/>
  <c r="Q13" i="1"/>
  <c r="Q30" i="1" s="1"/>
  <c r="Q47" i="1" s="1"/>
  <c r="AI12" i="1"/>
  <c r="AJ13" i="1" l="1"/>
  <c r="Q52" i="1"/>
  <c r="Q54" i="1" s="1"/>
  <c r="P52" i="1"/>
  <c r="P54" i="1" s="1"/>
  <c r="V52" i="1"/>
  <c r="V54" i="1" s="1"/>
  <c r="E13" i="2"/>
  <c r="D23" i="5"/>
  <c r="AI13" i="1"/>
  <c r="AI30" i="1" s="1"/>
  <c r="AJ34" i="1"/>
  <c r="AJ17" i="1"/>
  <c r="AI47" i="1" l="1"/>
  <c r="AI55" i="1"/>
  <c r="AJ55" i="1"/>
  <c r="X54" i="1"/>
  <c r="AI54" i="1" s="1"/>
  <c r="AJ18" i="1"/>
  <c r="AJ35" i="1"/>
  <c r="AI52" i="1" l="1"/>
  <c r="AJ19" i="1"/>
  <c r="AJ20" i="1"/>
  <c r="AJ36" i="1"/>
  <c r="AJ37" i="1" s="1"/>
  <c r="AJ38" i="1" s="1"/>
  <c r="AJ39" i="1"/>
  <c r="AJ40" i="1" s="1"/>
  <c r="AJ41" i="1"/>
  <c r="AJ42" i="1" s="1"/>
  <c r="AJ52" i="1" l="1"/>
  <c r="AJ54" i="1" s="1"/>
  <c r="AJ21" i="1"/>
  <c r="AJ2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Query from MS Access Database" type="1" refreshedVersion="8" background="1" saveData="1">
    <dbPr connection="DSN=MS Access Database;DBQ=G:\FMS\RESOURCE\ACCESS\010614 PBPF\011614 PBPF front.accdb;DefaultDir=G:\FMS\RESOURCE\ACCESS\010614 PBPF;DriverId=25;FIL=MS Access;MaxBufferSize=2048;PageTimeout=5;" command="SELECT `06-PAG LEDGER`.`ADOT#`, `06-PAG LEDGER`.`TIP#`, `06-PAG LEDGER`.Sponsor, `06-PAG LEDGER`.`Action/15`, `06-PAG LEDGER`.Location, `06-PAG LEDGER`.RTE, `06-PAG LEDGER`.SEC, `06-PAG LEDGER`.SEQ, `06-PAG LEDGER`.`PB Expected`, `06-PAG LEDGER`.`PB Received`, `06-PAG LEDGER`.`PF Transmitted`, `06-PAG LEDGER`.`Finance Authorization`, `06-PAG LEDGER`.`HURF EXCHANGE` as `HURF EX`, `06-PAG LEDGER`.HSIP, `06-PAG LEDGER`.PL,  `06-PAG LEDGER`.`PL-SATO`,`06-PAG LEDGER`.SPR, `06-PAG LEDGER`.`STP &lt;5`, `06-PAG LEDGER`.`STP 5-200`,`06-PAG LEDGER`.`STP 5-50`, `06-PAG LEDGER`.`STP 50-200`, `06-PAG LEDGER`.`STP OVER 200K`, `06-PAG LEDGER`.`STP OTHER`, `06-PAG LEDGER`.`HIP &gt;200`, `06-PAG LEDGER`.`TAP &lt;5`, `06-PAG LEDGER`.`TAP 5-2`, `06-PAG LEDGER`.`TAP 5-50`, `06-PAG LEDGER`.`TAP 50-200`,`06-PAG LEDGER`.`TA OVER 200K` as `TAP &gt;200`, `06-PAG LEDGER`.`TA OTHER` as `TAP Other`, `06-PAG LEDGER`.`CRP &lt;5`, `06-PAG LEDGER`.`CRP 5-50`, `06-PAG LEDGER`.`CRP 50-200`, `06-PAG LEDGER`.`CRP &gt;200`_x000d__x000a_FROM `G:\FMS\RESOURCE\ACCESS\010614 PBPF\011614 PBPF front.accdb`.`06-PAG LEDGER` `06-PAG LEDGER`_x000d__x000a_WHERE (`06-PAG LEDGER`.`ADOT#`&lt;&gt;'Trick') AND (`06-PAG LEDGER`.`Finance Authorization`&gt;=#10/1/2025# AND `06-PAG LEDGER`.`Finance Authorization`&lt;=#9/30/2026#)_x000d__x000a_ORDER BY `06-PAG LEDGER`.`Finance Authorization`"/>
  </connection>
  <connection id="2" xr16:uid="{00000000-0015-0000-FFFF-FFFF01000000}" name="Query from MS Access Database1" type="1" refreshedVersion="8" background="1" saveData="1">
    <dbPr connection="DSN=MS Access Database;DBQ=G:\FMS\RESOURCE\ACCESS\010614 PBPF\011614 PBPF front.accdb;DefaultDir=G:\FMS\RESOURCE\ACCESS\010614 PBPF;DriverId=25;FIL=MS Access;MaxBufferSize=2048;PageTimeout=5;" command="SELECT `06-PAGqryLedgerApportsCrosstab`.`Transaction Year`, `06-PAGqryLedgerApportsCrosstab`.`Transaction Type`, `06-PAGqryLedgerApportsCrosstab`.Number, `06-PAGqryLedgerApportsCrosstab`.`From`, `06-PAGqryLedgerApportsCrosstab`.To, `06-PAGqryLedgerApportsCrosstab`.`Repayment Year`, `06-PAGqryLedgerApportsCrosstab`.Project8, `06-PAGqryLedgerApportsCrosstab`.Notes, `06-PAGqryLedgerApportsCrosstab`.Total, `06-PAGqryLedgerApportsCrosstab`.`HURF Exchange`, `06-PAGqryLedgerApportsCrosstab`.HSIP, `06-PAGqryLedgerApportsCrosstab`.PLAN, `06-PAGqryLedgerApportsCrosstab`.`PLAN SATO`, `06-PAGqryLedgerApportsCrosstab`.SPR, `06-PAGqryLedgerApportsCrosstab`.`STP &lt;5`, `06-PAGqryLedgerApportsCrosstab`.`STP 5-2`, `06-PAGqryLedgerApportsCrosstab`.`STP 5-50`,`06-PAGqryLedgerApportsCrosstab`.`STP 50-200`, `06-PAGqryLedgerApportsCrosstab`.`STP &gt;200`, `06-PAGqryLedgerApportsCrosstab`.`STP Flex`, `06-PAGqryLedgerApportsCrosstab`.`HIP &gt;200`, `06-PAGqryLedgerApportsCrosstab`.`TAP &lt;5`, `06-PAGqryLedgerApportsCrosstab`.`TAP 5-2`, `06-PAGqryLedgerApportsCrosstab`.`TAP 5-50`, `06-PAGqryLedgerApportsCrosstab`.`TAP 50-200`,`06-PAGqryLedgerApportsCrosstab`.`TAP &gt;200`, `06-PAGqryLedgerApportsCrosstab`.`TAP Flex`, `06-PAGqryLedgerApportsCrosstab`.`CRP &lt;5`,`06-PAGqryLedgerApportsCrosstab`.`CRP 5-50`, `06-PAGqryLedgerApportsCrosstab`.`CRP 50-200`,`06-PAGqryLedgerApportsCrosstab`.`CRP &gt;200`_x000d__x000a_FROM `G:\FMS\RESOURCE\ACCESS\010614 PBPF\011614 PBPF front.accdb`.`06-PAGqryLedgerApportsCrosstab` `06-PAGqryLedgerApportsCrosstab`_x000d__x000a_WHERE (`06-PAGqryLedgerApportsCrosstab`.Total&lt;&gt;0)"/>
  </connection>
  <connection id="3" xr16:uid="{00000000-0015-0000-FFFF-FFFF02000000}" name="Query from MS Access Database2" type="1" refreshedVersion="8" background="1" saveData="1">
    <dbPr connection="DSN=MS Access Database;DBQ=G:\FMS\RESOURCE\ACCESS\010614 PBPF\011614 PBPF front.accdb;DefaultDir=G:\FMS\RESOURCE\ACCESS\010614 PBPF;DriverId=25;FIL=MS Access;MaxBufferSize=2048;PageTimeout=5;" command="SELECT `06-PAGqryLedgerOACrosstab`.`Transaction Year`, `06-PAGqryLedgerOACrosstab`.`Transaction Type`, `06-PAGqryLedgerOACrosstab`.Number, `06-PAGqryLedgerOACrosstab`.`From`, `06-PAGqryLedgerOACrosstab`.To, `06-PAGqryLedgerOACrosstab`.`Repayment Year`, `06-PAGqryLedgerOACrosstab`.Project8, `06-PAGqryLedgerOACrosstab`.Notes, `06-PAGqryLedgerOACrosstab`.Total, `06-PAGqryLedgerOACrosstab`.`HURF Exchange`, `06-PAGqryLedgerOACrosstab`.HSIP, `06-PAGqryLedgerOACrosstab`.PLAN, `06-PAGqryLedgerOACrosstab`.`PLAN SATO`, `06-PAGqryLedgerOACrosstab`.SPR, `06-PAGqryLedgerOACrosstab`.`STP &lt;5`, `06-PAGqryLedgerOACrosstab`.`STP 5-2`,  `06-PAGqryLedgerOACrosstab`.`STP 5-50`, `06-PAGqryLedgerOACrosstab`.`STP 50-200`, `06-PAGqryLedgerOACrosstab`.`STP &gt;200`, `06-PAGqryLedgerOACrosstab`.`STP Flex`, `06-PAGqryLedgerOACrosstab`.`HIP &gt;200`, `06-PAGqryLedgerOACrosstab`.`TAP &lt;5`, `06-PAGqryLedgerOACrosstab`.`TAP 5-2`, `06-PAGqryLedgerOACrosstab`.`TAP 5-50`, `06-PAGqryLedgerOACrosstab`.`TAP 50-200`, `06-PAGqryLedgerOACrosstab`.`TAP &gt;200`, `06-PAGqryLedgerOACrosstab`.`TAP Flex`, `06-PAGqryLedgerOACrosstab`.`CRP &lt;5`, `06-PAGqryLedgerOACrosstab`.`CRP 5-50`, `06-PAGqryLedgerOACrosstab`.`CRP 50-200`, `06-PAGqryLedgerOACrosstab`.`CRP &gt;200`_x000d__x000a_FROM `G:\FMS\RESOURCE\ACCESS\010614 PBPF\011614 PBPF front.accdb`.`06-PAGqryLedgerOACrosstab` `06-PAGqryLedgerOACrosstab`_x000d__x000a_WHERE (`06-PAGqryLedgerOACrosstab`.Total&lt;&gt;0)"/>
  </connection>
  <connection id="4" xr16:uid="{00000000-0015-0000-FFFF-FFFF03000000}" name="Query from MS Access Database3" type="1" refreshedVersion="8" background="1" saveData="1">
    <dbPr connection="DSN=MS Access Database;DBQ=G:\FMS\RESOURCE\ACCESS\010614 PBPF\011614 PBPF front.accdb;DefaultDir=G:\FMS\RESOURCE\ACCESS\010614 PBPF;DriverId=25;FIL=MS Access;MaxBufferSize=2048;PageTimeout=5;" command="SELECT `06-PAG LEDGER`.`ADOT#`, `06-PAG LEDGER`.`TIP#`, `06-PAG LEDGER`.Sponsor, `06-PAG LEDGER`.`Action/15`, `06-PAG LEDGER`.Location, `06-PAG LEDGER`.RTE, `06-PAG LEDGER`.SEC, `06-PAG LEDGER`.SEQ, `06-PAG LEDGER`.`PB Expected`, `06-PAG LEDGER`.`PB Received`, `06-PAG LEDGER`.`PF Transmitted`, `06-PAG LEDGER`.`Finance Authorization`, `06-PAG LEDGER`.`hurf exchange` as `HURF EX`, `06-PAG LEDGER`.HSIP, `06-PAG LEDGER`.PL,`06-PAG LEDGER`.`PL-SATO`, `06-PAG LEDGER`.SPR, `06-PAG LEDGER`.`STP &lt;5`, `06-PAG LEDGER`.`STP 5-200`,`06-PAG LEDGER`.`STP 5-50`, `06-PAG LEDGER`.`STP 50-200`, `06-PAG LEDGER`.`STP OVER 200K`, `06-PAG LEDGER`.`STP OTHER`, `06-PAG LEDGER`.`HIP &gt;200`, `06-PAG LEDGER`.`TAP &lt;5`, `06-PAG LEDGER`.`TAP 5-2`, `06-PAG LEDGER`.`TAP 5-50`,`06-PAG LEDGER`.`TAP 50-200`,`06-PAG LEDGER`.`TA OVER 200K` as `TAP &gt;200`, `06-PAG LEDGER`.`TA OTHER` as `TAP Other`, `06-PAG LEDGER`.`CRP &lt;5`, `06-PAG LEDGER`.`CRP 5-50`,`06-PAG LEDGER`.`CRP 50-200`,`06-PAG LEDGER`.`CRP &gt;200`_x000d__x000a_FROM `G:\FMS\RESOURCE\ACCESS\010614 PBPF\011614 PBPF front.accdb`.`06-PAG LEDGER` `06-PAG LEDGER`_x000d__x000a_WHERE (`06-PAG LEDGER`.`ADOT#` Not Like 'Trick') AND (`06-PAG LEDGER`.`Finance Authorization` Is Null) AND (`06-PAG LEDGER`.`Action/15` Not In ('Reduce AC', 'AC Auth')) AND ((`06-PAG LEDGER`.`PB Expected`&gt;=#10/1/2025# and `PB Expected`&lt;=#9/30/2026#) OR (`06-PAG LEDGER`.`PB Received`&gt;=#10/1/2025# and `PB Received`&lt;=#9/30/2026#) OR (`06-PAG LEDGER`.`PF Transmitted`&gt;=#10/1/2025# and `PF Transmitted`&lt;=#9/30/2026#))_x000d__x000a_ORDER BY `06-PAG LEDGER`.`ADOT#`"/>
  </connection>
</connections>
</file>

<file path=xl/sharedStrings.xml><?xml version="1.0" encoding="utf-8"?>
<sst xmlns="http://schemas.openxmlformats.org/spreadsheetml/2006/main" count="1392" uniqueCount="331">
  <si>
    <t>TIP#</t>
  </si>
  <si>
    <t>ADOT#</t>
  </si>
  <si>
    <t>Location</t>
  </si>
  <si>
    <t>Sponsor</t>
  </si>
  <si>
    <t>HSIP</t>
  </si>
  <si>
    <t>SPR</t>
  </si>
  <si>
    <t>STP other</t>
  </si>
  <si>
    <t>New Auth</t>
  </si>
  <si>
    <t>MPA</t>
  </si>
  <si>
    <t>FV MPA</t>
  </si>
  <si>
    <t>Total</t>
  </si>
  <si>
    <t>Description</t>
  </si>
  <si>
    <t>APPORTIONMENTS /1</t>
  </si>
  <si>
    <t>Number</t>
  </si>
  <si>
    <t>Details</t>
  </si>
  <si>
    <t>FFY OBLIGATION AUTHORITY /2</t>
  </si>
  <si>
    <t>Apportionments represent the amount of federal funding based on formula. Apportionments generally exceed obligation authority (OA), resulting in excess apportionments that cannot be obligated. Over the life of a multi-year federal transportation program authorization, apportionments may accumulate but cannot be utilized unless Congress approves a matching amount of OA. There is no guarantee Congress will  provide the OA necessary to fully utilize apportionments.</t>
  </si>
  <si>
    <t>Unobligated OA may be used with any category of apportionments. An equal amount of each is required to obligate funds.</t>
  </si>
  <si>
    <t xml:space="preserve">Because federal regulations require adjustment to the amount authorized within 90 days of a change in costs, finance actions may be required on projects programmed in previous fiscal years. Depending on the type of federal funds involved, these actions may reduce or increase the region's apportionments and/or OA. </t>
  </si>
  <si>
    <t>New Authorization</t>
  </si>
  <si>
    <t>Award MPA</t>
  </si>
  <si>
    <t>Convert AC</t>
  </si>
  <si>
    <t>Other</t>
  </si>
  <si>
    <t>Modified Project Agreement</t>
  </si>
  <si>
    <t>Cancel</t>
  </si>
  <si>
    <t>Project Withdrawn</t>
  </si>
  <si>
    <t>AC Auth</t>
  </si>
  <si>
    <t>Modification (increase or decrease) due to bid award</t>
  </si>
  <si>
    <t>Conversion of advanced construction balances (MAG only)</t>
  </si>
  <si>
    <t>Modification (increase or decrease) required to complete the Final Voucher and fully close the project</t>
  </si>
  <si>
    <t>AC Authorization (MAG only)</t>
  </si>
  <si>
    <t>A transaction type not otherwise listed</t>
  </si>
  <si>
    <t xml:space="preserve">Action types: </t>
  </si>
  <si>
    <t>NOT YET AUTHORIZED</t>
  </si>
  <si>
    <t>"Repayments In" represent loan funds being repaid to the region by another entity. Repayments In increase apportionments and/or OA. See the Apportionment and OA Loan tables for transaction detail.</t>
  </si>
  <si>
    <t>"Loans In" represent funds received by the region from another entity which must be repaid. Loans In increase apportionments and/or OA. See the Apportionment and OA Loan tables for transaction detail.</t>
  </si>
  <si>
    <t>"Loans Out" represent funds being loaned to another entity and which will be repaid to the region based upon a scheduled agreed to in advance by both entities. Loans Out decrease apportionments and/or OA. See the Apportionment and OA Loan tables for transaction detail.</t>
  </si>
  <si>
    <t>"Repayments Out" represent funds which are being repaid to another entity. Repayments Out decrease apportionments and/or OA. See the Apportionment and OA Loan tables for transaction detail.</t>
  </si>
  <si>
    <t>"Transfers  In" represent funds received by the region from another entity which will not be repaid. See the Apportionment and OA Transfer tables for transaction detail.</t>
  </si>
  <si>
    <t>"Transfers  Out" represent funds given by the region to another entity which will not be repaid. See the Apportionment and OA Transfer tables for transaction detail.</t>
  </si>
  <si>
    <t>PL</t>
  </si>
  <si>
    <t>Transaction Year</t>
  </si>
  <si>
    <t>Transaction Type</t>
  </si>
  <si>
    <t>Repayment Year</t>
  </si>
  <si>
    <t>RTE</t>
  </si>
  <si>
    <t>SEC</t>
  </si>
  <si>
    <t>SEQ</t>
  </si>
  <si>
    <t>PB Expected</t>
  </si>
  <si>
    <t>PB Received</t>
  </si>
  <si>
    <t>PF Transmitted</t>
  </si>
  <si>
    <t>Finance Authorization</t>
  </si>
  <si>
    <t>STP OTHER</t>
  </si>
  <si>
    <t>EXPECTED DECLINING BALANCE OA</t>
  </si>
  <si>
    <t>SPR /4</t>
  </si>
  <si>
    <t>SPR apportionment availability for approved work program</t>
  </si>
  <si>
    <t>All OA and apportionments lapse annually on June 30th with the exception of apportionments for CMAQ, TA, and STP over 200K in MAG and PAG. Also exempt from lapsing are SPR apportionments associated with an approved work program for the following state fiscal year. For this purpose, 25% of the annual SPR allocation will be available for obligation between July 1 and September 1. The remaining 75% is available between October 1 and June 30.  See Note 4.</t>
  </si>
  <si>
    <t>APPORTIONMENTS</t>
  </si>
  <si>
    <t>OA</t>
  </si>
  <si>
    <t>HSIP/3</t>
  </si>
  <si>
    <t>AUTHORIZED FINANCE ACTIONS /14</t>
  </si>
  <si>
    <t>Processing Status /16</t>
  </si>
  <si>
    <t>Processing Status:</t>
  </si>
  <si>
    <t>Date on which the request is actually received by the Program Budget office</t>
  </si>
  <si>
    <t>Date on which the finance authorization request is expected to be received by the Program Budget office for processing</t>
  </si>
  <si>
    <t>Date on which the project financing is approved by FHWA or the CFO's office as applicable</t>
  </si>
  <si>
    <t>Date on which the request is sent to FHWA (federally funded projects)or the CFO's office (RARF or other non-federal funded projects) for authorization approval</t>
  </si>
  <si>
    <t>Loans In /7</t>
  </si>
  <si>
    <t>Loans Out /8</t>
  </si>
  <si>
    <t>Repayments In /9</t>
  </si>
  <si>
    <t>Repayments Out  /10</t>
  </si>
  <si>
    <t>Transfers In /11</t>
  </si>
  <si>
    <t>Transfers Out /12</t>
  </si>
  <si>
    <t>Remaining Apportionments</t>
  </si>
  <si>
    <t>LAPSING FUNDS /17</t>
  </si>
  <si>
    <t>CURRENT YEAR FUNDS</t>
  </si>
  <si>
    <t>APPORTIONMENT LOANS, REPAYMENTS AND TRANSFERS /see Notes 7 - 12</t>
  </si>
  <si>
    <t>OA LOANS, REPAYMENTS AND TRANSFERS /see Notes 7 - 12</t>
  </si>
  <si>
    <t>Data as of:</t>
  </si>
  <si>
    <t xml:space="preserve">Federal Aid Regional Loans and Transfers Ledger
</t>
  </si>
  <si>
    <t>Action/15</t>
  </si>
  <si>
    <t>Repayment Out</t>
  </si>
  <si>
    <t>TOTAL OF AMOUNT</t>
  </si>
  <si>
    <r>
      <rPr>
        <b/>
        <sz val="11"/>
        <color rgb="FFFF0000"/>
        <rFont val="Arial Unicode MS"/>
        <family val="2"/>
      </rPr>
      <t xml:space="preserve">IMPORTANT! </t>
    </r>
    <r>
      <rPr>
        <sz val="11"/>
        <color theme="1"/>
        <rFont val="Arial Unicode MS"/>
        <family val="2"/>
      </rPr>
      <t>Please review the information in the Notes tab for further explanation of the data in this document.</t>
    </r>
  </si>
  <si>
    <t>From</t>
  </si>
  <si>
    <t>To</t>
  </si>
  <si>
    <t>Project8</t>
  </si>
  <si>
    <t>Notes</t>
  </si>
  <si>
    <t>STP OVER 200K</t>
  </si>
  <si>
    <t>TA OTHER</t>
  </si>
  <si>
    <t>TA OVER 200K</t>
  </si>
  <si>
    <t>ADOT</t>
  </si>
  <si>
    <t>Loan In</t>
  </si>
  <si>
    <t>Pima Association of Goverments</t>
  </si>
  <si>
    <t>2011</t>
  </si>
  <si>
    <t>PAG</t>
  </si>
  <si>
    <t>PAG-L002</t>
  </si>
  <si>
    <t>STP apports loan from ADOT for Mar 2011 transaction</t>
  </si>
  <si>
    <t>PAG-L003</t>
  </si>
  <si>
    <t>2012</t>
  </si>
  <si>
    <t>La Canada</t>
  </si>
  <si>
    <t>STP loan from ADOT for La Canada project</t>
  </si>
  <si>
    <t>PAG-L001 and PAG-L003</t>
  </si>
  <si>
    <t>Final Repayment to ADOT for 2011 loans</t>
  </si>
  <si>
    <t>Partial Repayment to ADOT for 2011 and 2012 loans</t>
  </si>
  <si>
    <t>Repay 2011 March STP apports loan</t>
  </si>
  <si>
    <t>2014</t>
  </si>
  <si>
    <t>Lapsing</t>
  </si>
  <si>
    <t>PAG-LP01</t>
  </si>
  <si>
    <t>PAG LAPSING FUNDS - FFY14</t>
  </si>
  <si>
    <t>PAG-FY14L1</t>
  </si>
  <si>
    <t>2015</t>
  </si>
  <si>
    <t>ADOT OA LOAN TO PAG</t>
  </si>
  <si>
    <t>PAG OA Loan Repay to ADOT</t>
  </si>
  <si>
    <t>Loan Out</t>
  </si>
  <si>
    <t>PAG-15L1</t>
  </si>
  <si>
    <t>2017</t>
  </si>
  <si>
    <t>PAG HSIP Loan to ADOT</t>
  </si>
  <si>
    <t>Repayment In</t>
  </si>
  <si>
    <t>2016</t>
  </si>
  <si>
    <t>PAG STP Loan to ADOT</t>
  </si>
  <si>
    <t>PAGADOT-16L1</t>
  </si>
  <si>
    <t>TAP &lt;5</t>
  </si>
  <si>
    <t>TAP 5-2</t>
  </si>
  <si>
    <t>TAP Other</t>
  </si>
  <si>
    <t>STP &lt;5</t>
  </si>
  <si>
    <t>STP 5-2</t>
  </si>
  <si>
    <t>TAP &gt;200</t>
  </si>
  <si>
    <t>PAGADOT-17L1</t>
  </si>
  <si>
    <t>2018</t>
  </si>
  <si>
    <t>PLAN</t>
  </si>
  <si>
    <t>STP &gt;200</t>
  </si>
  <si>
    <t>STP Flex</t>
  </si>
  <si>
    <t>TAP Flex</t>
  </si>
  <si>
    <t>HURF EX</t>
  </si>
  <si>
    <t>HURF Exchange</t>
  </si>
  <si>
    <t>2022</t>
  </si>
  <si>
    <t>Transfer Out</t>
  </si>
  <si>
    <t>STP 5-200</t>
  </si>
  <si>
    <r>
      <t xml:space="preserve">Available HSIP funding should be programmed </t>
    </r>
    <r>
      <rPr>
        <b/>
        <i/>
        <strike/>
        <sz val="11"/>
        <color theme="1"/>
        <rFont val="Calibri"/>
        <family val="2"/>
        <scheme val="minor"/>
      </rPr>
      <t>only</t>
    </r>
    <r>
      <rPr>
        <strike/>
        <sz val="11"/>
        <color theme="1"/>
        <rFont val="Calibri"/>
        <family val="2"/>
        <scheme val="minor"/>
      </rPr>
      <t xml:space="preserve"> for projects which have already met all of the following criteria: 
1) HSIP eligibility has been approved by ADOT and FHWA;  
2) An approved application is on file with ADOT by September 1 of the year prior to obligation; AND
3) The project is fully funded in the year of authorization (i.e. federal aid cannot be programmed across multiple years).
Unobligated HSIP apportionments and OA expire on June 30th each year and are not carried forward. 
</t>
    </r>
  </si>
  <si>
    <t>HIP &gt;200</t>
  </si>
  <si>
    <r>
      <t xml:space="preserve">FFY Total Available 
</t>
    </r>
    <r>
      <rPr>
        <b/>
        <sz val="9"/>
        <color rgb="FFFF0000"/>
        <rFont val="Arial Unicode MS"/>
        <family val="2"/>
      </rPr>
      <t xml:space="preserve">**LAPSES ON 6/30** </t>
    </r>
    <r>
      <rPr>
        <sz val="9"/>
        <rFont val="Arial Unicode MS"/>
        <family val="2"/>
      </rPr>
      <t>/17</t>
    </r>
  </si>
  <si>
    <r>
      <t xml:space="preserve">Carry Forward
</t>
    </r>
    <r>
      <rPr>
        <sz val="9"/>
        <color rgb="FFFF0000"/>
        <rFont val="Arial Unicode MS"/>
        <family val="2"/>
      </rPr>
      <t>**</t>
    </r>
    <r>
      <rPr>
        <b/>
        <sz val="9"/>
        <color rgb="FFFF0000"/>
        <rFont val="Arial Unicode MS"/>
        <family val="2"/>
      </rPr>
      <t xml:space="preserve">LAPSES ON 6/30** </t>
    </r>
    <r>
      <rPr>
        <sz val="9"/>
        <rFont val="Arial Unicode MS"/>
        <family val="2"/>
      </rPr>
      <t>/17</t>
    </r>
  </si>
  <si>
    <t>HIP &gt; 200</t>
  </si>
  <si>
    <t>2019</t>
  </si>
  <si>
    <t>PAGADOT-19L1</t>
  </si>
  <si>
    <t>2020</t>
  </si>
  <si>
    <t>T010901C</t>
  </si>
  <si>
    <t>PAG STBGP Loan to ADOT</t>
  </si>
  <si>
    <t xml:space="preserve"> </t>
  </si>
  <si>
    <t>H847901C</t>
  </si>
  <si>
    <t>ADOTPAG-19T1</t>
  </si>
  <si>
    <t>PAG HIP &gt; 200 Transfer to ADOT</t>
  </si>
  <si>
    <t>PCA</t>
  </si>
  <si>
    <t>OA is the amount of authorized apportionments which Congress allows states to obligate in an individual year. This is the amount which FHWA will reimburse.</t>
  </si>
  <si>
    <t>2021</t>
  </si>
  <si>
    <t>PAGADOT-21L1</t>
  </si>
  <si>
    <t>PAG STBG Loan to ADOT</t>
  </si>
  <si>
    <t>End of FY21 OA Balance</t>
  </si>
  <si>
    <t>Statutory</t>
  </si>
  <si>
    <t>Disc</t>
  </si>
  <si>
    <t>PAG OA</t>
  </si>
  <si>
    <t>OA Ratio (OA/apportionments) /1</t>
  </si>
  <si>
    <t>Fund Type</t>
  </si>
  <si>
    <t xml:space="preserve">Program Category </t>
  </si>
  <si>
    <t>Formula</t>
  </si>
  <si>
    <t xml:space="preserve">SPR (Planning) </t>
  </si>
  <si>
    <t xml:space="preserve">Metropolitan Planning </t>
  </si>
  <si>
    <t>Total Formula Apportionments</t>
  </si>
  <si>
    <t>Total Formula OA 94.9%</t>
  </si>
  <si>
    <t>check</t>
  </si>
  <si>
    <t>rounding</t>
  </si>
  <si>
    <t>2023</t>
  </si>
  <si>
    <t>2024</t>
  </si>
  <si>
    <t>PAG Change</t>
  </si>
  <si>
    <t>HSIP is now managed as a competitive program by ADOT.   However,  HSIP funding released off of  projects that were funded from the ledger will be released back onto the ledger.</t>
  </si>
  <si>
    <t>PL-SATO</t>
  </si>
  <si>
    <t>STP 5-50</t>
  </si>
  <si>
    <t>STP 50-200</t>
  </si>
  <si>
    <t>TAP 5-50</t>
  </si>
  <si>
    <t>TAP 50-200</t>
  </si>
  <si>
    <t>CRP &lt;5</t>
  </si>
  <si>
    <t>CRP 5-50</t>
  </si>
  <si>
    <t>CRP 50-200</t>
  </si>
  <si>
    <t>CRP &gt;200</t>
  </si>
  <si>
    <t>PLAN SATO</t>
  </si>
  <si>
    <t>DECLINING BALANCE OA</t>
  </si>
  <si>
    <t>Total used</t>
  </si>
  <si>
    <t xml:space="preserve">STP 5K - 200K </t>
  </si>
  <si>
    <t>STP 5K - 50K</t>
  </si>
  <si>
    <t>STP 50K - 200K</t>
  </si>
  <si>
    <t>STP Urban &gt; 200K</t>
  </si>
  <si>
    <t>TA Urban &gt; 200K</t>
  </si>
  <si>
    <t>TA 5K - 200K</t>
  </si>
  <si>
    <t>TA 5K - 50K</t>
  </si>
  <si>
    <t>TA 50K - 200K</t>
  </si>
  <si>
    <t>STP &lt; 5K</t>
  </si>
  <si>
    <t>CRP &lt; 5K</t>
  </si>
  <si>
    <t>CRP 5K - 50K</t>
  </si>
  <si>
    <t>CRP Urban &gt; 200K</t>
  </si>
  <si>
    <t>TA &lt; 5K</t>
  </si>
  <si>
    <t>PAGADOT-22L1</t>
  </si>
  <si>
    <t>Loan CRP for use of future projects</t>
  </si>
  <si>
    <t>PAG CRP Loan to ADOT</t>
  </si>
  <si>
    <t>2025</t>
  </si>
  <si>
    <t>PAGADOT-22L2</t>
  </si>
  <si>
    <t>Loan TAP&gt;200K for use of future projects</t>
  </si>
  <si>
    <t>PAG TAP Loan to ADOT</t>
  </si>
  <si>
    <t>Loan STP 5-50 for use of future projects</t>
  </si>
  <si>
    <t>Loan STP&lt;5K for use of future projects</t>
  </si>
  <si>
    <t>PAG  FFY23</t>
  </si>
  <si>
    <t>PAG FFY22</t>
  </si>
  <si>
    <t>Total Expected</t>
  </si>
  <si>
    <t>PAGADOT-23L1</t>
  </si>
  <si>
    <t>Grant Process: Trans Alternative Projects</t>
  </si>
  <si>
    <t>PAGADOT-23L2</t>
  </si>
  <si>
    <t>PAG TAP &gt;200K Loan to ADOT</t>
  </si>
  <si>
    <t>TUCSON</t>
  </si>
  <si>
    <t>TUC</t>
  </si>
  <si>
    <t>0</t>
  </si>
  <si>
    <t>TBD</t>
  </si>
  <si>
    <t>T049601C</t>
  </si>
  <si>
    <t>000</t>
  </si>
  <si>
    <t>N/A</t>
  </si>
  <si>
    <t>Transfer In</t>
  </si>
  <si>
    <t>ADOTPAG-23T1</t>
  </si>
  <si>
    <t>ADOT HURF EX Transfer to PAG</t>
  </si>
  <si>
    <t>PAG STP 5-50 Transfer to ADOT</t>
  </si>
  <si>
    <t>T</t>
  </si>
  <si>
    <t>026</t>
  </si>
  <si>
    <t>PAGADOT-24L1</t>
  </si>
  <si>
    <t>PAG FY25 WP</t>
  </si>
  <si>
    <t>PAG CRP &gt;200K Loan to ADOT</t>
  </si>
  <si>
    <t>2026</t>
  </si>
  <si>
    <t>TIP 4.23 Palo Verde Sidewalks</t>
  </si>
  <si>
    <t>PAG  FFY24</t>
  </si>
  <si>
    <t>Please direct questions regarding federal funding ledgers to ADOT Financial Management Services at</t>
  </si>
  <si>
    <t xml:space="preserve"> resourceadmin@azdot.gov.</t>
  </si>
  <si>
    <t>PAG STP 5-50K Loan to ADOT</t>
  </si>
  <si>
    <t>T063801D</t>
  </si>
  <si>
    <t xml:space="preserve"> Please contact ADOT Financial Management Services to coordinate this exchange.  If HSIP funds will be programmed on a project, please be advised that an </t>
  </si>
  <si>
    <t>eligibility letter must be obtained from ADOT's Traffic Safety Group prior to authorization.</t>
  </si>
  <si>
    <t xml:space="preserve">1. Any HSIP apportionments that become available on the ledger as a result of a project close out or other reasons, are eligible to be exchanged for STBG apportionments. </t>
  </si>
  <si>
    <t>2. This ledger does not track Transit funding. Transit Consolidated Planning Grant (CPG) funding will be added as a footnote here upon receipt of FFY25 allocations.</t>
  </si>
  <si>
    <t>FOOTNOTES</t>
  </si>
  <si>
    <t>PAG  FFY25</t>
  </si>
  <si>
    <t>TA &gt;200K: $270,945</t>
  </si>
  <si>
    <t>STBG &gt;200: $1,985,603</t>
  </si>
  <si>
    <t>TIFIA Redistribution</t>
  </si>
  <si>
    <t>PAGADOT-25T1</t>
  </si>
  <si>
    <t>PAG STP &lt;5 Transfer to ADOT</t>
  </si>
  <si>
    <t>RTAG PROJECT (TIP ID# 2.24)</t>
  </si>
  <si>
    <t>PAG STP &lt;5K Loan to ADOT</t>
  </si>
  <si>
    <t>RTAG PROJECT (TIP ID# 5.23)</t>
  </si>
  <si>
    <t>RTAG PROJECTS (TIP ID# 5.23, 4.23, 90.12)</t>
  </si>
  <si>
    <t>2027</t>
  </si>
  <si>
    <t>RTA Roadway Projects</t>
  </si>
  <si>
    <t>PAG STP &gt;200k Loan to ADOT</t>
  </si>
  <si>
    <t>ADOT-LOCAL PROJECTS</t>
  </si>
  <si>
    <t>PPG2602P</t>
  </si>
  <si>
    <t>PAG 2026-2027 WP - PL</t>
  </si>
  <si>
    <t>T048501C</t>
  </si>
  <si>
    <t>ADOT# 104026 / PAG 23.08</t>
  </si>
  <si>
    <t>Sahuara Bike Blvd &amp; Copper/Flower Bike Path, Tuc</t>
  </si>
  <si>
    <t>279</t>
  </si>
  <si>
    <t>Planned Lapsing - 06/30/26</t>
  </si>
  <si>
    <t>Lapsed - 07/01/26</t>
  </si>
  <si>
    <t>Planned Lapsing - 09/30/26</t>
  </si>
  <si>
    <t>Carry Forward to FFY 27</t>
  </si>
  <si>
    <t>Federal Fiscal Year 2026</t>
  </si>
  <si>
    <t>PAG131.00</t>
  </si>
  <si>
    <t>PAG #131.00 / ADOT# 101393</t>
  </si>
  <si>
    <t>Transfer</t>
  </si>
  <si>
    <t>22ND STREET, I-10 TO TUCSON BLVD</t>
  </si>
  <si>
    <t>P</t>
  </si>
  <si>
    <t>SF02501C</t>
  </si>
  <si>
    <t>PAG# 90.12</t>
  </si>
  <si>
    <t>UA 2ND STREET BIKE AND PEDESTRIAN IMPROVEMENTS</t>
  </si>
  <si>
    <t>252</t>
  </si>
  <si>
    <t>T063801C</t>
  </si>
  <si>
    <t>2.24</t>
  </si>
  <si>
    <t>SAHUARITA</t>
  </si>
  <si>
    <t>Town of Sahuarita El Toro &amp; La Villita Rd MUP (RTAG)</t>
  </si>
  <si>
    <t>T069601C</t>
  </si>
  <si>
    <t>104788</t>
  </si>
  <si>
    <t xml:space="preserve">PIMA COUNTY                   </t>
  </si>
  <si>
    <t>S Houghton Rd MUP</t>
  </si>
  <si>
    <t>T069801C</t>
  </si>
  <si>
    <t>PAG# 4.23</t>
  </si>
  <si>
    <t>Palo Verde Rd Sidewalks</t>
  </si>
  <si>
    <t>PAGADOT-25L1</t>
  </si>
  <si>
    <t>PAGADOT-25L2</t>
  </si>
  <si>
    <t>PPG2603P</t>
  </si>
  <si>
    <t>FFY26/SFY27 STBG Work Program PAG</t>
  </si>
  <si>
    <t>PPG26S2P</t>
  </si>
  <si>
    <t>FY26-27 SATO Work Program PAG</t>
  </si>
  <si>
    <t>RLTAP31P</t>
  </si>
  <si>
    <t>VARIOUS</t>
  </si>
  <si>
    <t>LOCAL LEDGERS</t>
  </si>
  <si>
    <t>LTAP - FFY26</t>
  </si>
  <si>
    <t>999</t>
  </si>
  <si>
    <t>T069001C</t>
  </si>
  <si>
    <t>102430</t>
  </si>
  <si>
    <t>Valencia Rd I19 to Alvernon</t>
  </si>
  <si>
    <t>289</t>
  </si>
  <si>
    <t>State FY 26 Approved work program amount</t>
  </si>
  <si>
    <t>State FY 26 amount authorized prior to 09/30/25 or Lapsed funding</t>
  </si>
  <si>
    <t>State FY 26 amount available for authorization 10/01/25 - 06/30/26</t>
  </si>
  <si>
    <t>State FY 27 amount available for authorization 07/1/26 - 09/30/26 (request must be submitted by 09/01/26)</t>
  </si>
  <si>
    <t>Total SPR apportionments for Federal Fiscal Year 26 (as shown on ledger)</t>
  </si>
  <si>
    <t>PAG  FFY26 Est.</t>
  </si>
  <si>
    <r>
      <t xml:space="preserve">LAPSING FUNDS:  </t>
    </r>
    <r>
      <rPr>
        <sz val="11"/>
        <rFont val="Calibri"/>
        <family val="2"/>
        <scheme val="minor"/>
      </rPr>
      <t xml:space="preserve">Carried forward apportionments and obligation authority lapse pursuant to the following schedule:
</t>
    </r>
    <r>
      <rPr>
        <sz val="8"/>
        <rFont val="Wingdings"/>
        <charset val="2"/>
      </rPr>
      <t>t</t>
    </r>
    <r>
      <rPr>
        <sz val="11"/>
        <rFont val="Calibri"/>
        <family val="2"/>
        <scheme val="minor"/>
      </rPr>
      <t xml:space="preserve">   Remaining OA lapses annually on 6/30.
</t>
    </r>
    <r>
      <rPr>
        <sz val="8"/>
        <rFont val="Wingdings"/>
        <charset val="2"/>
      </rPr>
      <t xml:space="preserve">t </t>
    </r>
    <r>
      <rPr>
        <sz val="11"/>
        <rFont val="Calibri"/>
        <family val="2"/>
        <scheme val="minor"/>
      </rPr>
      <t>Remaining Apportionments lapse annually on 6/30 with the exception of apportionments for CMAQ, TA, CRP over 200K and STP over 200K in MAG and PAG, and CRP 50-200K for MPOs and TMAs.</t>
    </r>
    <r>
      <rPr>
        <sz val="11"/>
        <rFont val="Calibri Light"/>
        <family val="2"/>
        <scheme val="major"/>
      </rPr>
      <t xml:space="preserve">
</t>
    </r>
  </si>
  <si>
    <t>SH56801C</t>
  </si>
  <si>
    <t>3.12</t>
  </si>
  <si>
    <t>4TH AVE /CONGRESS STREET/TOOLE AVE -CITY OF TUCSON</t>
  </si>
  <si>
    <t>247</t>
  </si>
  <si>
    <t>T014003D</t>
  </si>
  <si>
    <t>63.14</t>
  </si>
  <si>
    <t>Pima County School Safety: White-Pistor Canada St: Hildreth Ave to Forrest Ave sidewalks and traffic calming</t>
  </si>
  <si>
    <t>PPM</t>
  </si>
  <si>
    <t>263</t>
  </si>
  <si>
    <t>PPG2403P</t>
  </si>
  <si>
    <t>101319-23X, 101320-23X, 101322-23X, 101323-23X, 101324-23X, 101325-23X; 101319-24X; 101320-24X; 101322-24X; 101323-24X; 101324-24X; 101325-24X;</t>
  </si>
  <si>
    <t>PAG 2024/2025 WP - STBG</t>
  </si>
  <si>
    <t>024</t>
  </si>
  <si>
    <t xml:space="preserve">Federal Aid Transaction Ledger
</t>
  </si>
  <si>
    <t>The FFY 26 OA limitation ratio for the State is 87.4%.  The rate for calculations in FY 2026 for the ledgers will be 0.949.  This rate is subject to change in future fiscal years.</t>
  </si>
  <si>
    <t>At the end of FFY 2025, the following TIFIA apportionments remained, and they are included with STBG&gt;200K and TA &gt;200K carryforward apportionments:</t>
  </si>
  <si>
    <t>3. In FFY 2025, the Fiscally Responsible Highway Funding Act of 2024 (FRHFA) redistributed TIFIA apportionments as STBG</t>
  </si>
  <si>
    <t xml:space="preserve"> and TA apportionments to the states. These redistributed TIFIA apportionments in the PAG Region were as follows: </t>
  </si>
  <si>
    <t>FFY 2026 redistributed TIFIA apportionments have not yet been determined.</t>
  </si>
  <si>
    <t>FFY 26
Apportionments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</si>
</sst>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8" formatCode="&quot;$&quot;#,##0.00_);[Red]\(&quot;$&quot;#,##0.00\)"/>
    <numFmt numFmtId="44" formatCode="_(&quot;$&quot;* #,##0.00_);_(&quot;$&quot;* \(#,##0.00\);_(&quot;$&quot;* &quot;-&quot;??_);_(@_)"/>
    <numFmt numFmtId="43" formatCode="_(* #,##0.00_);_(* \(#,##0.00\);_(* &quot;-&quot;??_);_(@_)"/>
    <numFmt numFmtId="164" formatCode="mm/dd/yy;@"/>
    <numFmt numFmtId="165" formatCode="mm/dd/yyyy"/>
    <numFmt numFmtId="166" formatCode="#,##0.000_);[Red]\(#,##0.000\)"/>
    <numFmt numFmtId="167" formatCode="_(&quot;$&quot;* #,##0_);_(&quot;$&quot;* \(#,##0\);_(&quot;$&quot;* &quot;-&quot;??_);_(@_)"/>
  </numFmts>
  <fonts count="56">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2"/>
      <name val="Calibri"/>
      <family val="2"/>
      <scheme val="minor"/>
    </font>
    <font>
      <b/>
      <sz val="14"/>
      <color theme="1"/>
      <name val="Calibri"/>
      <family val="2"/>
      <scheme val="minor"/>
    </font>
    <font>
      <sz val="10"/>
      <color indexed="8"/>
      <name val="Arial"/>
      <family val="2"/>
    </font>
    <font>
      <sz val="11"/>
      <color indexed="8"/>
      <name val="Calibri"/>
      <family val="2"/>
    </font>
    <font>
      <b/>
      <sz val="11"/>
      <color indexed="8"/>
      <name val="Calibri"/>
      <family val="2"/>
    </font>
    <font>
      <sz val="11"/>
      <color theme="1"/>
      <name val="Calibri"/>
      <family val="2"/>
      <scheme val="minor"/>
    </font>
    <font>
      <sz val="11"/>
      <color theme="1"/>
      <name val="Arial Unicode MS"/>
      <family val="2"/>
    </font>
    <font>
      <b/>
      <sz val="16"/>
      <color rgb="FFFF0000"/>
      <name val="Arial Unicode MS"/>
      <family val="2"/>
    </font>
    <font>
      <b/>
      <sz val="11"/>
      <color theme="1"/>
      <name val="Arial Unicode MS"/>
      <family val="2"/>
    </font>
    <font>
      <b/>
      <sz val="9"/>
      <name val="Arial Unicode MS"/>
      <family val="2"/>
    </font>
    <font>
      <sz val="9"/>
      <color theme="1"/>
      <name val="Arial Unicode MS"/>
      <family val="2"/>
    </font>
    <font>
      <sz val="9"/>
      <color rgb="FFFF0000"/>
      <name val="Arial Unicode MS"/>
      <family val="2"/>
    </font>
    <font>
      <b/>
      <sz val="9"/>
      <color rgb="FFFF0000"/>
      <name val="Arial Unicode MS"/>
      <family val="2"/>
    </font>
    <font>
      <b/>
      <sz val="10"/>
      <color theme="1"/>
      <name val="Arial Unicode MS"/>
      <family val="2"/>
    </font>
    <font>
      <sz val="10"/>
      <color theme="1"/>
      <name val="Arial Unicode MS"/>
      <family val="2"/>
    </font>
    <font>
      <b/>
      <sz val="11"/>
      <color rgb="FFFF0000"/>
      <name val="Arial Unicode MS"/>
      <family val="2"/>
    </font>
    <font>
      <b/>
      <sz val="9"/>
      <color theme="1"/>
      <name val="Arial Unicode MS"/>
      <family val="2"/>
    </font>
    <font>
      <sz val="9"/>
      <name val="Arial Unicode MS"/>
      <family val="2"/>
    </font>
    <font>
      <b/>
      <sz val="12"/>
      <name val="Arial Unicode MS"/>
      <family val="2"/>
    </font>
    <font>
      <b/>
      <sz val="10"/>
      <name val="Arial Unicode MS"/>
      <family val="2"/>
    </font>
    <font>
      <sz val="10"/>
      <name val="Arial Unicode MS"/>
      <family val="2"/>
    </font>
    <font>
      <b/>
      <sz val="14"/>
      <name val="Calibri"/>
      <family val="2"/>
      <scheme val="minor"/>
    </font>
    <font>
      <sz val="11"/>
      <color theme="1"/>
      <name val="Calibri"/>
      <family val="2"/>
      <scheme val="minor"/>
    </font>
    <font>
      <sz val="9"/>
      <color theme="1"/>
      <name val="Calibri"/>
      <family val="2"/>
      <scheme val="minor"/>
    </font>
    <font>
      <sz val="11"/>
      <color theme="1"/>
      <name val="Calibri"/>
      <family val="2"/>
      <scheme val="minor"/>
    </font>
    <font>
      <sz val="11"/>
      <color theme="1"/>
      <name val="Calibri"/>
      <family val="2"/>
      <scheme val="minor"/>
    </font>
    <font>
      <sz val="9"/>
      <color theme="1"/>
      <name val="Arial Unicode MS"/>
      <family val="2"/>
    </font>
    <font>
      <strike/>
      <sz val="11"/>
      <color theme="1"/>
      <name val="Calibri"/>
      <family val="2"/>
      <scheme val="minor"/>
    </font>
    <font>
      <b/>
      <i/>
      <strike/>
      <sz val="11"/>
      <color theme="1"/>
      <name val="Calibri"/>
      <family val="2"/>
      <scheme val="minor"/>
    </font>
    <font>
      <b/>
      <sz val="11"/>
      <color rgb="FFFF0000"/>
      <name val="Calibri"/>
      <family val="2"/>
      <scheme val="minor"/>
    </font>
    <font>
      <sz val="8"/>
      <name val="Wingdings"/>
      <charset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Arial"/>
      <family val="2"/>
    </font>
    <font>
      <b/>
      <sz val="9"/>
      <name val="Arial"/>
      <family val="2"/>
    </font>
    <font>
      <sz val="9"/>
      <name val="Arial"/>
      <family val="2"/>
    </font>
    <font>
      <sz val="9"/>
      <color theme="1"/>
      <name val="Arial Unicode MS"/>
      <family val="2"/>
    </font>
    <font>
      <sz val="12"/>
      <name val="Times New Roman"/>
      <family val="1"/>
    </font>
    <font>
      <sz val="8"/>
      <name val="Arial"/>
      <family val="2"/>
    </font>
    <font>
      <sz val="9"/>
      <color theme="1"/>
      <name val="Arial Unicode MS"/>
      <family val="2"/>
    </font>
    <font>
      <sz val="9"/>
      <color theme="1"/>
      <name val="Arial Unicode MS"/>
      <family val="2"/>
    </font>
    <font>
      <sz val="11"/>
      <color theme="1"/>
      <name val="Calibri"/>
      <family val="2"/>
      <scheme val="minor"/>
    </font>
    <font>
      <sz val="11"/>
      <color theme="1"/>
      <name val="Calibri"/>
      <family val="2"/>
      <scheme val="minor"/>
    </font>
    <font>
      <sz val="11"/>
      <color theme="1"/>
      <name val="Calibri"/>
      <family val="2"/>
      <scheme val="minor"/>
    </font>
    <font>
      <sz val="11"/>
      <color rgb="FFFF0000"/>
      <name val="Arial Unicode MS"/>
      <family val="2"/>
    </font>
    <font>
      <sz val="11"/>
      <color theme="1"/>
      <name val="Calibri"/>
      <family val="2"/>
      <scheme val="minor"/>
    </font>
    <font>
      <sz val="11"/>
      <color theme="1"/>
      <name val="Calibri"/>
      <family val="2"/>
      <scheme val="minor"/>
    </font>
    <font>
      <b/>
      <u/>
      <sz val="11"/>
      <color theme="1"/>
      <name val="Arial Unicode MS"/>
      <family val="2"/>
    </font>
    <font>
      <sz val="11"/>
      <color theme="1"/>
      <name val="Calibri"/>
      <family val="2"/>
      <scheme val="minor"/>
    </font>
    <font>
      <sz val="11"/>
      <name val="Calibri Light"/>
      <family val="2"/>
      <scheme val="major"/>
    </font>
  </fonts>
  <fills count="10">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rgb="FFD8E4BC"/>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theme="2"/>
        <bgColor indexed="64"/>
      </patternFill>
    </fill>
    <fill>
      <patternFill patternType="solid">
        <fgColor theme="9"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auto="1"/>
      </right>
      <top style="thin">
        <color auto="1"/>
      </top>
      <bottom style="thin">
        <color indexed="64"/>
      </bottom>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bottom/>
      <diagonal/>
    </border>
    <border>
      <left style="thin">
        <color indexed="64"/>
      </left>
      <right style="thin">
        <color auto="1"/>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auto="1"/>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auto="1"/>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s>
  <cellStyleXfs count="45">
    <xf numFmtId="0" fontId="0" fillId="0" borderId="0"/>
    <xf numFmtId="44" fontId="1" fillId="0" borderId="0" applyFont="0" applyFill="0" applyBorder="0" applyAlignment="0" applyProtection="0"/>
    <xf numFmtId="0" fontId="6" fillId="0" borderId="0"/>
    <xf numFmtId="43" fontId="1" fillId="0" borderId="0" applyFont="0" applyFill="0" applyBorder="0" applyAlignment="0" applyProtection="0"/>
    <xf numFmtId="9" fontId="1"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38" fillId="0" borderId="0" applyFont="0" applyFill="0" applyBorder="0" applyAlignment="0" applyProtection="0"/>
    <xf numFmtId="0" fontId="39" fillId="0" borderId="0"/>
    <xf numFmtId="0" fontId="38" fillId="0" borderId="0"/>
    <xf numFmtId="0" fontId="39"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8" fillId="0" borderId="0"/>
    <xf numFmtId="0" fontId="38"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 fillId="0" borderId="0"/>
    <xf numFmtId="0" fontId="39" fillId="0" borderId="0"/>
    <xf numFmtId="0" fontId="38" fillId="0" borderId="0"/>
    <xf numFmtId="0" fontId="39" fillId="0" borderId="0"/>
    <xf numFmtId="0" fontId="38" fillId="0" borderId="0"/>
    <xf numFmtId="0" fontId="39" fillId="0" borderId="0"/>
    <xf numFmtId="0" fontId="39" fillId="0" borderId="0"/>
    <xf numFmtId="0" fontId="38" fillId="0" borderId="0"/>
    <xf numFmtId="0" fontId="39" fillId="0" borderId="0"/>
    <xf numFmtId="9" fontId="1" fillId="0" borderId="0" applyFont="0" applyFill="0" applyBorder="0" applyAlignment="0" applyProtection="0"/>
    <xf numFmtId="9" fontId="38" fillId="0" borderId="0" applyFont="0" applyFill="0" applyBorder="0" applyAlignment="0" applyProtection="0"/>
    <xf numFmtId="0" fontId="43" fillId="0" borderId="0"/>
    <xf numFmtId="0" fontId="44" fillId="0" borderId="0"/>
    <xf numFmtId="43" fontId="44" fillId="0" borderId="0" applyFont="0" applyFill="0" applyBorder="0" applyAlignment="0" applyProtection="0"/>
  </cellStyleXfs>
  <cellXfs count="248">
    <xf numFmtId="0" fontId="0" fillId="0" borderId="0" xfId="0"/>
    <xf numFmtId="0" fontId="0" fillId="0" borderId="0" xfId="0" applyAlignment="1">
      <alignment horizontal="center" vertical="top"/>
    </xf>
    <xf numFmtId="0" fontId="0" fillId="0" borderId="0" xfId="0" applyAlignment="1">
      <alignment horizontal="left" indent="2"/>
    </xf>
    <xf numFmtId="0" fontId="0" fillId="0" borderId="0" xfId="0" applyAlignment="1">
      <alignment horizontal="left" vertical="top" wrapText="1"/>
    </xf>
    <xf numFmtId="0" fontId="2" fillId="0" borderId="0" xfId="0" applyFont="1" applyAlignment="1">
      <alignment horizontal="center" vertical="top"/>
    </xf>
    <xf numFmtId="0" fontId="7" fillId="0" borderId="0" xfId="2" applyFont="1" applyAlignment="1">
      <alignment vertical="top" wrapText="1"/>
    </xf>
    <xf numFmtId="0" fontId="7" fillId="0" borderId="0" xfId="2" applyFont="1" applyAlignment="1">
      <alignment horizontal="left" vertical="top" wrapText="1"/>
    </xf>
    <xf numFmtId="0" fontId="2" fillId="0" borderId="0" xfId="0" applyFont="1" applyAlignment="1">
      <alignment vertical="top" wrapText="1"/>
    </xf>
    <xf numFmtId="8" fontId="0" fillId="0" borderId="10" xfId="1" applyNumberFormat="1" applyFont="1" applyBorder="1" applyAlignment="1">
      <alignment vertical="top" wrapText="1"/>
    </xf>
    <xf numFmtId="8" fontId="0" fillId="0" borderId="0" xfId="1" applyNumberFormat="1" applyFont="1" applyBorder="1" applyAlignment="1">
      <alignment vertical="top" wrapText="1"/>
    </xf>
    <xf numFmtId="8" fontId="2" fillId="3" borderId="0" xfId="1" applyNumberFormat="1" applyFont="1" applyFill="1" applyBorder="1" applyAlignment="1">
      <alignment vertical="top" wrapText="1"/>
    </xf>
    <xf numFmtId="8" fontId="0" fillId="3" borderId="0" xfId="1" applyNumberFormat="1" applyFont="1" applyFill="1" applyBorder="1" applyAlignment="1">
      <alignment vertical="top" wrapText="1"/>
    </xf>
    <xf numFmtId="8" fontId="0" fillId="3" borderId="0" xfId="1" applyNumberFormat="1" applyFont="1" applyFill="1" applyAlignment="1">
      <alignment vertical="top" wrapText="1"/>
    </xf>
    <xf numFmtId="0" fontId="7" fillId="3" borderId="0" xfId="2" applyFont="1" applyFill="1" applyAlignment="1">
      <alignment vertical="top" wrapText="1"/>
    </xf>
    <xf numFmtId="8" fontId="0" fillId="0" borderId="0" xfId="1" applyNumberFormat="1" applyFont="1" applyFill="1" applyAlignment="1">
      <alignment vertical="top" wrapText="1"/>
    </xf>
    <xf numFmtId="0" fontId="8" fillId="0" borderId="0" xfId="2" applyFont="1" applyAlignment="1">
      <alignment vertical="top" wrapText="1"/>
    </xf>
    <xf numFmtId="43" fontId="0" fillId="0" borderId="0" xfId="3" applyFont="1"/>
    <xf numFmtId="43" fontId="0" fillId="0" borderId="0" xfId="3" applyFont="1" applyAlignment="1">
      <alignment wrapText="1"/>
    </xf>
    <xf numFmtId="43" fontId="0" fillId="0" borderId="0" xfId="3" applyFont="1" applyAlignment="1">
      <alignment vertical="top" wrapText="1"/>
    </xf>
    <xf numFmtId="43" fontId="2" fillId="0" borderId="0" xfId="3" applyFont="1" applyAlignment="1">
      <alignment horizontal="left" vertical="top" wrapText="1"/>
    </xf>
    <xf numFmtId="43" fontId="0" fillId="0" borderId="0" xfId="3" applyFont="1" applyBorder="1" applyAlignment="1">
      <alignment vertical="top" wrapText="1"/>
    </xf>
    <xf numFmtId="43" fontId="4" fillId="0" borderId="0" xfId="3" applyFont="1" applyBorder="1" applyAlignment="1">
      <alignment horizontal="left" vertical="top" wrapText="1"/>
    </xf>
    <xf numFmtId="43" fontId="0" fillId="0" borderId="0" xfId="3" applyFont="1" applyBorder="1"/>
    <xf numFmtId="43" fontId="0" fillId="0" borderId="0" xfId="3" applyFont="1" applyBorder="1" applyAlignment="1">
      <alignment wrapText="1"/>
    </xf>
    <xf numFmtId="0" fontId="10" fillId="0" borderId="0" xfId="0" applyFont="1" applyAlignment="1">
      <alignment vertical="top" wrapText="1"/>
    </xf>
    <xf numFmtId="14" fontId="11" fillId="0" borderId="0" xfId="0" applyNumberFormat="1" applyFont="1" applyAlignment="1">
      <alignment horizontal="center" vertical="center" wrapText="1"/>
    </xf>
    <xf numFmtId="40" fontId="10" fillId="0" borderId="0" xfId="0" applyNumberFormat="1" applyFont="1" applyAlignment="1">
      <alignment vertical="top" wrapText="1"/>
    </xf>
    <xf numFmtId="0" fontId="12" fillId="0" borderId="0" xfId="0" applyFont="1" applyAlignment="1">
      <alignment vertical="top" wrapText="1"/>
    </xf>
    <xf numFmtId="40" fontId="18" fillId="0" borderId="0" xfId="0" applyNumberFormat="1" applyFont="1" applyAlignment="1">
      <alignment vertical="top" wrapText="1"/>
    </xf>
    <xf numFmtId="14" fontId="10" fillId="0" borderId="0" xfId="0" applyNumberFormat="1" applyFont="1" applyAlignment="1">
      <alignment horizontal="left" vertical="center" wrapText="1"/>
    </xf>
    <xf numFmtId="40" fontId="17" fillId="0" borderId="0" xfId="0" applyNumberFormat="1" applyFont="1" applyAlignment="1">
      <alignment horizontal="left" vertical="top" wrapText="1"/>
    </xf>
    <xf numFmtId="40" fontId="17" fillId="0" borderId="0" xfId="0" applyNumberFormat="1" applyFont="1" applyAlignment="1">
      <alignment horizontal="right" vertical="top" wrapText="1"/>
    </xf>
    <xf numFmtId="40" fontId="12" fillId="0" borderId="0" xfId="0" applyNumberFormat="1" applyFont="1" applyAlignment="1">
      <alignment vertical="top" wrapText="1"/>
    </xf>
    <xf numFmtId="40" fontId="24" fillId="0" borderId="0" xfId="0" applyNumberFormat="1" applyFont="1" applyAlignment="1">
      <alignment horizontal="right" vertical="top" wrapText="1"/>
    </xf>
    <xf numFmtId="0" fontId="14" fillId="0" borderId="0" xfId="0" applyFont="1" applyAlignment="1">
      <alignment vertical="top" wrapText="1"/>
    </xf>
    <xf numFmtId="0" fontId="18" fillId="0" borderId="0" xfId="0" applyFont="1" applyAlignment="1">
      <alignment horizontal="center" vertical="center" wrapText="1"/>
    </xf>
    <xf numFmtId="40" fontId="14" fillId="0" borderId="0" xfId="0" applyNumberFormat="1" applyFont="1" applyAlignment="1">
      <alignment vertical="top" wrapText="1"/>
    </xf>
    <xf numFmtId="43" fontId="0" fillId="0" borderId="1" xfId="3" applyFont="1" applyBorder="1"/>
    <xf numFmtId="43" fontId="9" fillId="0" borderId="1" xfId="3" applyFont="1" applyBorder="1"/>
    <xf numFmtId="43" fontId="0" fillId="0" borderId="8" xfId="3" applyFont="1" applyBorder="1"/>
    <xf numFmtId="43" fontId="9" fillId="0" borderId="8" xfId="3" applyFont="1" applyBorder="1"/>
    <xf numFmtId="43" fontId="9" fillId="0" borderId="9" xfId="3" applyFont="1" applyBorder="1"/>
    <xf numFmtId="43" fontId="9" fillId="0" borderId="4" xfId="3" applyFont="1" applyBorder="1"/>
    <xf numFmtId="14" fontId="0" fillId="0" borderId="0" xfId="3" applyNumberFormat="1" applyFont="1" applyAlignment="1">
      <alignment horizontal="left" vertical="center" wrapText="1"/>
    </xf>
    <xf numFmtId="14" fontId="10" fillId="0" borderId="0" xfId="0" applyNumberFormat="1" applyFont="1" applyAlignment="1">
      <alignment vertical="center" wrapText="1"/>
    </xf>
    <xf numFmtId="43" fontId="9" fillId="0" borderId="0" xfId="3" applyFont="1" applyBorder="1"/>
    <xf numFmtId="43" fontId="0" fillId="0" borderId="6" xfId="3" applyFont="1" applyBorder="1"/>
    <xf numFmtId="43" fontId="0" fillId="0" borderId="3" xfId="3" applyFont="1" applyBorder="1"/>
    <xf numFmtId="43" fontId="0" fillId="0" borderId="7" xfId="3" applyFont="1" applyBorder="1"/>
    <xf numFmtId="14" fontId="10" fillId="0" borderId="0" xfId="0" applyNumberFormat="1" applyFont="1" applyAlignment="1">
      <alignment horizontal="center" vertical="center" wrapText="1"/>
    </xf>
    <xf numFmtId="14" fontId="20" fillId="0" borderId="0" xfId="0" applyNumberFormat="1" applyFont="1" applyAlignment="1">
      <alignment horizontal="center" vertical="center" wrapText="1"/>
    </xf>
    <xf numFmtId="40" fontId="10" fillId="0" borderId="0" xfId="0" quotePrefix="1" applyNumberFormat="1" applyFont="1" applyAlignment="1">
      <alignment vertical="top" wrapText="1"/>
    </xf>
    <xf numFmtId="0" fontId="14" fillId="0" borderId="0" xfId="0" applyFont="1" applyAlignment="1">
      <alignment horizontal="left" vertical="top" wrapText="1"/>
    </xf>
    <xf numFmtId="40" fontId="14" fillId="0" borderId="0" xfId="0" applyNumberFormat="1" applyFont="1" applyAlignment="1">
      <alignment horizontal="right" vertical="center" wrapText="1"/>
    </xf>
    <xf numFmtId="40" fontId="17" fillId="0" borderId="0" xfId="0" applyNumberFormat="1" applyFont="1" applyAlignment="1">
      <alignment horizontal="center" vertical="top" wrapText="1"/>
    </xf>
    <xf numFmtId="0" fontId="0" fillId="0" borderId="0" xfId="0" applyAlignment="1">
      <alignment vertical="top" wrapText="1"/>
    </xf>
    <xf numFmtId="14" fontId="14" fillId="0" borderId="0" xfId="0" applyNumberFormat="1" applyFont="1" applyAlignment="1">
      <alignment horizontal="center" vertical="top" wrapText="1"/>
    </xf>
    <xf numFmtId="40" fontId="14" fillId="0" borderId="0" xfId="0" applyNumberFormat="1" applyFont="1" applyAlignment="1">
      <alignment horizontal="right" vertical="top" wrapText="1"/>
    </xf>
    <xf numFmtId="0" fontId="14" fillId="0" borderId="0" xfId="0" applyFont="1" applyAlignment="1">
      <alignment horizontal="center" vertical="top" wrapText="1"/>
    </xf>
    <xf numFmtId="40" fontId="14" fillId="0" borderId="0" xfId="0" applyNumberFormat="1" applyFont="1" applyAlignment="1">
      <alignment horizontal="center" vertical="top" wrapText="1"/>
    </xf>
    <xf numFmtId="14" fontId="10" fillId="0" borderId="0" xfId="0" applyNumberFormat="1" applyFont="1" applyAlignment="1">
      <alignment horizontal="center" vertical="top" wrapText="1"/>
    </xf>
    <xf numFmtId="14" fontId="17" fillId="0" borderId="0" xfId="0" applyNumberFormat="1" applyFont="1" applyAlignment="1">
      <alignment horizontal="center" vertical="top" wrapText="1"/>
    </xf>
    <xf numFmtId="14" fontId="20" fillId="0" borderId="1" xfId="0" applyNumberFormat="1" applyFont="1" applyBorder="1" applyAlignment="1">
      <alignment horizontal="center" vertical="top" wrapText="1"/>
    </xf>
    <xf numFmtId="40" fontId="14" fillId="0" borderId="0" xfId="0" applyNumberFormat="1" applyFont="1" applyAlignment="1">
      <alignment vertical="top"/>
    </xf>
    <xf numFmtId="43" fontId="26" fillId="0" borderId="8" xfId="3" applyFont="1" applyBorder="1"/>
    <xf numFmtId="43" fontId="26" fillId="0" borderId="1" xfId="3" applyFont="1" applyBorder="1"/>
    <xf numFmtId="14" fontId="16" fillId="0" borderId="0" xfId="0" applyNumberFormat="1" applyFont="1" applyAlignment="1">
      <alignment horizontal="right" vertical="top"/>
    </xf>
    <xf numFmtId="14" fontId="20" fillId="0" borderId="0" xfId="0" applyNumberFormat="1" applyFont="1" applyAlignment="1">
      <alignment horizontal="right" vertical="top"/>
    </xf>
    <xf numFmtId="40" fontId="14" fillId="0" borderId="1" xfId="3" applyNumberFormat="1" applyFont="1" applyBorder="1" applyAlignment="1">
      <alignment vertical="top"/>
    </xf>
    <xf numFmtId="40" fontId="14" fillId="0" borderId="0" xfId="3" applyNumberFormat="1" applyFont="1" applyBorder="1" applyAlignment="1">
      <alignment vertical="top"/>
    </xf>
    <xf numFmtId="40" fontId="14" fillId="0" borderId="9" xfId="3" applyNumberFormat="1" applyFont="1" applyFill="1" applyBorder="1" applyAlignment="1">
      <alignment vertical="top"/>
    </xf>
    <xf numFmtId="0" fontId="27" fillId="0" borderId="0" xfId="0" applyFont="1" applyAlignment="1">
      <alignment vertical="top" wrapText="1"/>
    </xf>
    <xf numFmtId="43" fontId="0" fillId="0" borderId="9" xfId="3" applyFont="1" applyBorder="1"/>
    <xf numFmtId="43" fontId="0" fillId="0" borderId="4" xfId="3" applyFont="1" applyBorder="1"/>
    <xf numFmtId="43" fontId="0" fillId="0" borderId="15" xfId="3" applyFont="1" applyBorder="1"/>
    <xf numFmtId="43" fontId="0" fillId="0" borderId="16" xfId="3" applyFont="1" applyBorder="1"/>
    <xf numFmtId="0" fontId="14" fillId="0" borderId="0" xfId="0" applyFont="1" applyAlignment="1">
      <alignment vertical="top"/>
    </xf>
    <xf numFmtId="43" fontId="28" fillId="0" borderId="0" xfId="3" applyFont="1"/>
    <xf numFmtId="43" fontId="28" fillId="0" borderId="9" xfId="3" applyFont="1" applyBorder="1"/>
    <xf numFmtId="43" fontId="28" fillId="0" borderId="15" xfId="3" applyFont="1" applyBorder="1"/>
    <xf numFmtId="43" fontId="28" fillId="0" borderId="4" xfId="3" applyFont="1" applyBorder="1"/>
    <xf numFmtId="43" fontId="28" fillId="0" borderId="16" xfId="3" applyFont="1" applyBorder="1"/>
    <xf numFmtId="164" fontId="14" fillId="0" borderId="0" xfId="0" applyNumberFormat="1" applyFont="1" applyAlignment="1">
      <alignment horizontal="center" vertical="top" wrapText="1"/>
    </xf>
    <xf numFmtId="43" fontId="29" fillId="0" borderId="16" xfId="3" applyFont="1" applyBorder="1"/>
    <xf numFmtId="43" fontId="29" fillId="0" borderId="0" xfId="3" applyFont="1" applyBorder="1"/>
    <xf numFmtId="43" fontId="29" fillId="0" borderId="0" xfId="3" applyFont="1"/>
    <xf numFmtId="40" fontId="14" fillId="0" borderId="0" xfId="3" applyNumberFormat="1" applyFont="1" applyAlignment="1">
      <alignment vertical="top"/>
    </xf>
    <xf numFmtId="164" fontId="30" fillId="0" borderId="0" xfId="0" applyNumberFormat="1" applyFont="1" applyAlignment="1">
      <alignment horizontal="center" vertical="top" wrapText="1"/>
    </xf>
    <xf numFmtId="40" fontId="14" fillId="0" borderId="0" xfId="3" applyNumberFormat="1" applyFont="1" applyFill="1" applyBorder="1" applyAlignment="1">
      <alignment vertical="top"/>
    </xf>
    <xf numFmtId="40" fontId="14" fillId="0" borderId="14" xfId="3" applyNumberFormat="1" applyFont="1" applyBorder="1" applyAlignment="1">
      <alignment vertical="top"/>
    </xf>
    <xf numFmtId="40" fontId="27" fillId="0" borderId="0" xfId="0" applyNumberFormat="1" applyFont="1" applyAlignment="1">
      <alignment vertical="top"/>
    </xf>
    <xf numFmtId="43" fontId="35" fillId="0" borderId="0" xfId="3" applyFont="1"/>
    <xf numFmtId="43" fontId="35" fillId="0" borderId="16" xfId="3" applyFont="1" applyBorder="1"/>
    <xf numFmtId="43" fontId="36" fillId="0" borderId="0" xfId="3" applyFont="1"/>
    <xf numFmtId="43" fontId="36" fillId="0" borderId="16" xfId="3" applyFont="1" applyBorder="1"/>
    <xf numFmtId="40" fontId="30" fillId="0" borderId="0" xfId="0" applyNumberFormat="1" applyFont="1" applyAlignment="1">
      <alignment vertical="top"/>
    </xf>
    <xf numFmtId="0" fontId="2" fillId="0" borderId="0" xfId="0" applyFont="1"/>
    <xf numFmtId="0" fontId="0" fillId="0" borderId="0" xfId="0" applyAlignment="1">
      <alignment wrapText="1"/>
    </xf>
    <xf numFmtId="43" fontId="37" fillId="0" borderId="0" xfId="3" applyFont="1"/>
    <xf numFmtId="43" fontId="37" fillId="0" borderId="16" xfId="3" applyFont="1" applyBorder="1"/>
    <xf numFmtId="14" fontId="13" fillId="0" borderId="5" xfId="1" applyNumberFormat="1" applyFont="1" applyBorder="1" applyAlignment="1">
      <alignment horizontal="center" vertical="center" wrapText="1"/>
    </xf>
    <xf numFmtId="14" fontId="14" fillId="4" borderId="5" xfId="0" applyNumberFormat="1" applyFont="1" applyFill="1" applyBorder="1" applyAlignment="1">
      <alignment horizontal="left" vertical="center" wrapText="1"/>
    </xf>
    <xf numFmtId="40" fontId="14" fillId="4" borderId="23" xfId="0" applyNumberFormat="1" applyFont="1" applyFill="1" applyBorder="1" applyAlignment="1">
      <alignment vertical="top"/>
    </xf>
    <xf numFmtId="40" fontId="14" fillId="4" borderId="5" xfId="0" applyNumberFormat="1" applyFont="1" applyFill="1" applyBorder="1" applyAlignment="1">
      <alignment vertical="top"/>
    </xf>
    <xf numFmtId="165" fontId="14" fillId="0" borderId="5" xfId="0" applyNumberFormat="1" applyFont="1" applyBorder="1" applyAlignment="1">
      <alignment horizontal="left" vertical="center" wrapText="1"/>
    </xf>
    <xf numFmtId="40" fontId="14" fillId="0" borderId="23" xfId="0" applyNumberFormat="1" applyFont="1" applyBorder="1" applyAlignment="1">
      <alignment vertical="top"/>
    </xf>
    <xf numFmtId="40" fontId="14" fillId="0" borderId="5" xfId="0" applyNumberFormat="1" applyFont="1" applyBorder="1" applyAlignment="1">
      <alignment vertical="top"/>
    </xf>
    <xf numFmtId="40" fontId="14" fillId="2" borderId="5" xfId="0" applyNumberFormat="1" applyFont="1" applyFill="1" applyBorder="1" applyAlignment="1">
      <alignment vertical="top"/>
    </xf>
    <xf numFmtId="14" fontId="14" fillId="0" borderId="5" xfId="0" applyNumberFormat="1" applyFont="1" applyBorder="1" applyAlignment="1">
      <alignment horizontal="left" vertical="center" wrapText="1"/>
    </xf>
    <xf numFmtId="14" fontId="20" fillId="0" borderId="24" xfId="0" applyNumberFormat="1" applyFont="1" applyBorder="1" applyAlignment="1">
      <alignment horizontal="left" vertical="center" wrapText="1"/>
    </xf>
    <xf numFmtId="40" fontId="20" fillId="0" borderId="25" xfId="0" applyNumberFormat="1" applyFont="1" applyBorder="1" applyAlignment="1">
      <alignment vertical="top"/>
    </xf>
    <xf numFmtId="40" fontId="20" fillId="0" borderId="24" xfId="0" applyNumberFormat="1" applyFont="1" applyBorder="1" applyAlignment="1">
      <alignment vertical="top"/>
    </xf>
    <xf numFmtId="38" fontId="41" fillId="5" borderId="17" xfId="0" applyNumberFormat="1" applyFont="1" applyFill="1" applyBorder="1" applyAlignment="1">
      <alignment horizontal="center" vertical="center" wrapText="1"/>
    </xf>
    <xf numFmtId="38" fontId="41" fillId="5" borderId="1" xfId="0" applyNumberFormat="1" applyFont="1" applyFill="1" applyBorder="1" applyAlignment="1">
      <alignment horizontal="center" vertical="center" wrapText="1"/>
    </xf>
    <xf numFmtId="38" fontId="41" fillId="0" borderId="17" xfId="0" applyNumberFormat="1" applyFont="1" applyBorder="1" applyAlignment="1">
      <alignment vertical="top"/>
    </xf>
    <xf numFmtId="38" fontId="41" fillId="0" borderId="1" xfId="0" applyNumberFormat="1" applyFont="1" applyBorder="1" applyAlignment="1">
      <alignment vertical="top"/>
    </xf>
    <xf numFmtId="38" fontId="41" fillId="0" borderId="18" xfId="0" applyNumberFormat="1" applyFont="1" applyBorder="1" applyAlignment="1">
      <alignment vertical="top"/>
    </xf>
    <xf numFmtId="38" fontId="41" fillId="0" borderId="3" xfId="0" applyNumberFormat="1" applyFont="1" applyBorder="1" applyAlignment="1">
      <alignment vertical="top"/>
    </xf>
    <xf numFmtId="38" fontId="40" fillId="5" borderId="25" xfId="0" applyNumberFormat="1" applyFont="1" applyFill="1" applyBorder="1" applyAlignment="1">
      <alignment horizontal="center" vertical="center" wrapText="1"/>
    </xf>
    <xf numFmtId="38" fontId="40" fillId="5" borderId="28" xfId="0" applyNumberFormat="1" applyFont="1" applyFill="1" applyBorder="1" applyAlignment="1">
      <alignment horizontal="center" vertical="center" wrapText="1"/>
    </xf>
    <xf numFmtId="38" fontId="41" fillId="0" borderId="22" xfId="0" applyNumberFormat="1" applyFont="1" applyBorder="1" applyAlignment="1">
      <alignment horizontal="center" vertical="center" wrapText="1"/>
    </xf>
    <xf numFmtId="38" fontId="41" fillId="6" borderId="21" xfId="0" applyNumberFormat="1" applyFont="1" applyFill="1" applyBorder="1" applyAlignment="1">
      <alignment horizontal="center" vertical="center" wrapText="1"/>
    </xf>
    <xf numFmtId="0" fontId="41" fillId="0" borderId="1" xfId="0" applyFont="1" applyBorder="1" applyAlignment="1">
      <alignment vertical="top" wrapText="1"/>
    </xf>
    <xf numFmtId="38" fontId="40" fillId="0" borderId="1" xfId="0" applyNumberFormat="1" applyFont="1" applyBorder="1" applyAlignment="1">
      <alignment horizontal="right" vertical="top" wrapText="1"/>
    </xf>
    <xf numFmtId="38" fontId="40" fillId="0" borderId="1" xfId="0" applyNumberFormat="1" applyFont="1" applyBorder="1" applyAlignment="1">
      <alignment horizontal="right" vertical="center"/>
    </xf>
    <xf numFmtId="166" fontId="0" fillId="0" borderId="0" xfId="0" applyNumberFormat="1"/>
    <xf numFmtId="40" fontId="13" fillId="0" borderId="29" xfId="1" applyNumberFormat="1" applyFont="1" applyFill="1" applyBorder="1" applyAlignment="1">
      <alignment horizontal="center" vertical="center" wrapText="1"/>
    </xf>
    <xf numFmtId="40" fontId="14" fillId="0" borderId="29" xfId="0" applyNumberFormat="1" applyFont="1" applyBorder="1" applyAlignment="1">
      <alignment vertical="top"/>
    </xf>
    <xf numFmtId="40" fontId="14" fillId="4" borderId="29" xfId="0" applyNumberFormat="1" applyFont="1" applyFill="1" applyBorder="1" applyAlignment="1">
      <alignment vertical="top"/>
    </xf>
    <xf numFmtId="40" fontId="20" fillId="0" borderId="21" xfId="0" applyNumberFormat="1" applyFont="1" applyBorder="1" applyAlignment="1">
      <alignment vertical="top"/>
    </xf>
    <xf numFmtId="14" fontId="13" fillId="0" borderId="18" xfId="1" applyNumberFormat="1" applyFont="1" applyBorder="1" applyAlignment="1">
      <alignment horizontal="center" vertical="center" wrapText="1"/>
    </xf>
    <xf numFmtId="40" fontId="13" fillId="0" borderId="20" xfId="1" applyNumberFormat="1" applyFont="1" applyBorder="1" applyAlignment="1">
      <alignment horizontal="center" vertical="center" wrapText="1"/>
    </xf>
    <xf numFmtId="40" fontId="14" fillId="0" borderId="0" xfId="0" applyNumberFormat="1" applyFont="1" applyAlignment="1">
      <alignment horizontal="left" vertical="top" wrapText="1"/>
    </xf>
    <xf numFmtId="40" fontId="42" fillId="0" borderId="0" xfId="0" applyNumberFormat="1" applyFont="1" applyAlignment="1">
      <alignment vertical="top"/>
    </xf>
    <xf numFmtId="164" fontId="42" fillId="0" borderId="0" xfId="0" applyNumberFormat="1" applyFont="1" applyAlignment="1">
      <alignment horizontal="center" vertical="top" wrapText="1"/>
    </xf>
    <xf numFmtId="40" fontId="42" fillId="0" borderId="0" xfId="3" applyNumberFormat="1" applyFont="1" applyAlignment="1">
      <alignment vertical="top"/>
    </xf>
    <xf numFmtId="40" fontId="42" fillId="0" borderId="0" xfId="0" applyNumberFormat="1" applyFont="1" applyAlignment="1">
      <alignment horizontal="left" vertical="top" wrapText="1"/>
    </xf>
    <xf numFmtId="38" fontId="41" fillId="6" borderId="24" xfId="0" applyNumberFormat="1" applyFont="1" applyFill="1" applyBorder="1" applyAlignment="1">
      <alignment horizontal="center" vertical="center" wrapText="1"/>
    </xf>
    <xf numFmtId="0" fontId="41" fillId="0" borderId="2" xfId="0" applyFont="1" applyBorder="1" applyAlignment="1">
      <alignment vertical="top" wrapText="1"/>
    </xf>
    <xf numFmtId="38" fontId="40" fillId="0" borderId="2" xfId="0" applyNumberFormat="1" applyFont="1" applyBorder="1" applyAlignment="1">
      <alignment horizontal="right" vertical="top" wrapText="1"/>
    </xf>
    <xf numFmtId="38" fontId="40" fillId="0" borderId="2" xfId="0" applyNumberFormat="1" applyFont="1" applyBorder="1" applyAlignment="1">
      <alignment horizontal="right" vertical="center"/>
    </xf>
    <xf numFmtId="38" fontId="40" fillId="5" borderId="34" xfId="0" applyNumberFormat="1" applyFont="1" applyFill="1" applyBorder="1" applyAlignment="1">
      <alignment horizontal="center" vertical="center" wrapText="1"/>
    </xf>
    <xf numFmtId="38" fontId="41" fillId="5" borderId="32" xfId="0" applyNumberFormat="1" applyFont="1" applyFill="1" applyBorder="1" applyAlignment="1">
      <alignment horizontal="center" vertical="center" wrapText="1"/>
    </xf>
    <xf numFmtId="38" fontId="41" fillId="0" borderId="12" xfId="0" applyNumberFormat="1" applyFont="1" applyBorder="1" applyAlignment="1">
      <alignment vertical="top"/>
    </xf>
    <xf numFmtId="38" fontId="41" fillId="0" borderId="35" xfId="0" applyNumberFormat="1" applyFont="1" applyBorder="1" applyAlignment="1">
      <alignment horizontal="right" vertical="top"/>
    </xf>
    <xf numFmtId="38" fontId="41" fillId="0" borderId="33" xfId="0" applyNumberFormat="1" applyFont="1" applyBorder="1" applyAlignment="1">
      <alignment horizontal="right" vertical="top"/>
    </xf>
    <xf numFmtId="38" fontId="41" fillId="0" borderId="1" xfId="0" applyNumberFormat="1" applyFont="1" applyBorder="1" applyAlignment="1">
      <alignment horizontal="right" vertical="top"/>
    </xf>
    <xf numFmtId="38" fontId="41" fillId="0" borderId="17" xfId="0" applyNumberFormat="1" applyFont="1" applyBorder="1" applyAlignment="1">
      <alignment horizontal="right" vertical="top"/>
    </xf>
    <xf numFmtId="164" fontId="45" fillId="0" borderId="0" xfId="0" applyNumberFormat="1" applyFont="1" applyAlignment="1">
      <alignment horizontal="center" vertical="top" wrapText="1"/>
    </xf>
    <xf numFmtId="0" fontId="10" fillId="0" borderId="0" xfId="0" applyFont="1" applyAlignment="1">
      <alignment horizontal="left" vertical="top" wrapText="1"/>
    </xf>
    <xf numFmtId="0" fontId="12" fillId="0" borderId="0" xfId="0" applyFont="1" applyAlignment="1">
      <alignment horizontal="left" vertical="top" wrapText="1"/>
    </xf>
    <xf numFmtId="0" fontId="10" fillId="0" borderId="0" xfId="0" applyFont="1" applyAlignment="1">
      <alignment horizontal="left" vertical="center"/>
    </xf>
    <xf numFmtId="40" fontId="46" fillId="0" borderId="0" xfId="0" applyNumberFormat="1" applyFont="1" applyAlignment="1">
      <alignment horizontal="right" vertical="top" wrapText="1"/>
    </xf>
    <xf numFmtId="40" fontId="46" fillId="0" borderId="0" xfId="0" applyNumberFormat="1" applyFont="1" applyAlignment="1">
      <alignment horizontal="center" vertical="top" wrapText="1"/>
    </xf>
    <xf numFmtId="40" fontId="21" fillId="4" borderId="1" xfId="3" applyNumberFormat="1" applyFont="1" applyFill="1" applyBorder="1" applyAlignment="1">
      <alignment vertical="top"/>
    </xf>
    <xf numFmtId="43" fontId="47" fillId="0" borderId="16" xfId="3" applyFont="1" applyBorder="1"/>
    <xf numFmtId="43" fontId="47" fillId="0" borderId="0" xfId="3" applyFont="1" applyBorder="1"/>
    <xf numFmtId="43" fontId="47" fillId="0" borderId="0" xfId="3" applyFont="1"/>
    <xf numFmtId="14" fontId="12" fillId="0" borderId="0" xfId="0" applyNumberFormat="1" applyFont="1" applyAlignment="1">
      <alignment vertical="center" wrapText="1"/>
    </xf>
    <xf numFmtId="40" fontId="20" fillId="0" borderId="25" xfId="0" applyNumberFormat="1" applyFont="1" applyBorder="1" applyAlignment="1">
      <alignment horizontal="center" vertical="top" wrapText="1"/>
    </xf>
    <xf numFmtId="40" fontId="14" fillId="4" borderId="36" xfId="3" applyNumberFormat="1" applyFont="1" applyFill="1" applyBorder="1" applyAlignment="1">
      <alignment vertical="top"/>
    </xf>
    <xf numFmtId="40" fontId="14" fillId="0" borderId="36" xfId="3" applyNumberFormat="1" applyFont="1" applyBorder="1" applyAlignment="1">
      <alignment vertical="top"/>
    </xf>
    <xf numFmtId="40" fontId="14" fillId="0" borderId="38" xfId="3" applyNumberFormat="1" applyFont="1" applyBorder="1" applyAlignment="1">
      <alignment vertical="top"/>
    </xf>
    <xf numFmtId="40" fontId="14" fillId="0" borderId="8" xfId="3" applyNumberFormat="1" applyFont="1" applyBorder="1" applyAlignment="1">
      <alignment vertical="top"/>
    </xf>
    <xf numFmtId="40" fontId="13" fillId="0" borderId="10" xfId="1" applyNumberFormat="1" applyFont="1" applyBorder="1" applyAlignment="1">
      <alignment horizontal="center" vertical="top" wrapText="1"/>
    </xf>
    <xf numFmtId="40" fontId="13" fillId="0" borderId="21" xfId="1" applyNumberFormat="1" applyFont="1" applyBorder="1" applyAlignment="1">
      <alignment horizontal="center" vertical="top" wrapText="1"/>
    </xf>
    <xf numFmtId="40" fontId="13" fillId="2" borderId="37" xfId="1" applyNumberFormat="1" applyFont="1" applyFill="1" applyBorder="1" applyAlignment="1">
      <alignment horizontal="center" vertical="top" wrapText="1"/>
    </xf>
    <xf numFmtId="40" fontId="14" fillId="4" borderId="32" xfId="3" applyNumberFormat="1" applyFont="1" applyFill="1" applyBorder="1" applyAlignment="1">
      <alignment vertical="top"/>
    </xf>
    <xf numFmtId="40" fontId="14" fillId="0" borderId="27" xfId="3" applyNumberFormat="1" applyFont="1" applyBorder="1" applyAlignment="1">
      <alignment vertical="top"/>
    </xf>
    <xf numFmtId="40" fontId="14" fillId="0" borderId="33" xfId="3" applyNumberFormat="1" applyFont="1" applyBorder="1" applyAlignment="1">
      <alignment vertical="top"/>
    </xf>
    <xf numFmtId="40" fontId="14" fillId="0" borderId="35" xfId="3" applyNumberFormat="1" applyFont="1" applyBorder="1" applyAlignment="1">
      <alignment vertical="top"/>
    </xf>
    <xf numFmtId="43" fontId="48" fillId="0" borderId="0" xfId="3" applyFont="1"/>
    <xf numFmtId="43" fontId="48" fillId="0" borderId="16" xfId="3" applyFont="1" applyBorder="1"/>
    <xf numFmtId="9" fontId="0" fillId="0" borderId="0" xfId="4" applyFont="1" applyFill="1"/>
    <xf numFmtId="0" fontId="0" fillId="3" borderId="0" xfId="0" applyFill="1"/>
    <xf numFmtId="9" fontId="0" fillId="3" borderId="0" xfId="4" applyFont="1" applyFill="1"/>
    <xf numFmtId="40" fontId="42" fillId="0" borderId="0" xfId="0" applyNumberFormat="1" applyFont="1" applyAlignment="1">
      <alignment horizontal="center" vertical="top" wrapText="1"/>
    </xf>
    <xf numFmtId="38" fontId="0" fillId="0" borderId="0" xfId="0" applyNumberFormat="1"/>
    <xf numFmtId="43" fontId="14" fillId="0" borderId="0" xfId="3" applyFont="1" applyFill="1" applyBorder="1" applyAlignment="1">
      <alignment vertical="top" wrapText="1"/>
    </xf>
    <xf numFmtId="167" fontId="14" fillId="0" borderId="0" xfId="1" applyNumberFormat="1" applyFont="1" applyFill="1" applyAlignment="1">
      <alignment vertical="top" wrapText="1"/>
    </xf>
    <xf numFmtId="40" fontId="20" fillId="0" borderId="1" xfId="0" applyNumberFormat="1" applyFont="1" applyBorder="1" applyAlignment="1">
      <alignment horizontal="right" vertical="top" wrapText="1"/>
    </xf>
    <xf numFmtId="40" fontId="20" fillId="0" borderId="1" xfId="0" applyNumberFormat="1" applyFont="1" applyBorder="1" applyAlignment="1">
      <alignment vertical="top"/>
    </xf>
    <xf numFmtId="40" fontId="20" fillId="0" borderId="3" xfId="0" applyNumberFormat="1" applyFont="1" applyBorder="1" applyAlignment="1">
      <alignment vertical="top"/>
    </xf>
    <xf numFmtId="40" fontId="14" fillId="0" borderId="0" xfId="0" applyNumberFormat="1" applyFont="1" applyAlignment="1">
      <alignment horizontal="center" vertical="center" wrapText="1"/>
    </xf>
    <xf numFmtId="0" fontId="14" fillId="0" borderId="0" xfId="0" applyFont="1" applyAlignment="1">
      <alignment horizontal="left" vertical="top" indent="1"/>
    </xf>
    <xf numFmtId="43" fontId="49" fillId="0" borderId="0" xfId="3" applyFont="1"/>
    <xf numFmtId="43" fontId="49" fillId="0" borderId="16" xfId="3" applyFont="1" applyBorder="1"/>
    <xf numFmtId="38" fontId="41" fillId="7" borderId="1" xfId="0" applyNumberFormat="1" applyFont="1" applyFill="1" applyBorder="1" applyAlignment="1">
      <alignment vertical="top"/>
    </xf>
    <xf numFmtId="38" fontId="41" fillId="8" borderId="1" xfId="0" applyNumberFormat="1" applyFont="1" applyFill="1" applyBorder="1" applyAlignment="1">
      <alignment vertical="top"/>
    </xf>
    <xf numFmtId="38" fontId="41" fillId="9" borderId="17" xfId="0" applyNumberFormat="1" applyFont="1" applyFill="1" applyBorder="1" applyAlignment="1">
      <alignment vertical="top"/>
    </xf>
    <xf numFmtId="0" fontId="50" fillId="0" borderId="0" xfId="0" applyFont="1" applyAlignment="1">
      <alignment vertical="top"/>
    </xf>
    <xf numFmtId="43" fontId="51" fillId="0" borderId="0" xfId="3" applyFont="1"/>
    <xf numFmtId="43" fontId="51" fillId="0" borderId="16" xfId="3" applyFont="1" applyBorder="1"/>
    <xf numFmtId="0" fontId="0" fillId="0" borderId="0" xfId="0" applyAlignment="1">
      <alignment horizontal="left" vertical="top"/>
    </xf>
    <xf numFmtId="43" fontId="52" fillId="0" borderId="0" xfId="3" applyFont="1"/>
    <xf numFmtId="43" fontId="52" fillId="0" borderId="16" xfId="3" applyFont="1" applyBorder="1"/>
    <xf numFmtId="3" fontId="0" fillId="0" borderId="0" xfId="0" applyNumberFormat="1"/>
    <xf numFmtId="38" fontId="40" fillId="5" borderId="41" xfId="0" applyNumberFormat="1" applyFont="1" applyFill="1" applyBorder="1" applyAlignment="1">
      <alignment horizontal="center" vertical="center" wrapText="1"/>
    </xf>
    <xf numFmtId="38" fontId="40" fillId="5" borderId="39" xfId="0" applyNumberFormat="1" applyFont="1" applyFill="1" applyBorder="1" applyAlignment="1">
      <alignment horizontal="center" vertical="center" wrapText="1"/>
    </xf>
    <xf numFmtId="38" fontId="40" fillId="5" borderId="40" xfId="0" applyNumberFormat="1" applyFont="1" applyFill="1" applyBorder="1" applyAlignment="1">
      <alignment horizontal="center" vertical="center" wrapText="1"/>
    </xf>
    <xf numFmtId="38" fontId="41" fillId="5" borderId="22" xfId="0" applyNumberFormat="1" applyFont="1" applyFill="1" applyBorder="1" applyAlignment="1">
      <alignment horizontal="center" vertical="center" wrapText="1"/>
    </xf>
    <xf numFmtId="38" fontId="41" fillId="5" borderId="21" xfId="0" applyNumberFormat="1" applyFont="1" applyFill="1" applyBorder="1" applyAlignment="1">
      <alignment horizontal="center" vertical="center" wrapText="1"/>
    </xf>
    <xf numFmtId="38" fontId="41" fillId="5" borderId="37" xfId="0" applyNumberFormat="1" applyFont="1" applyFill="1" applyBorder="1" applyAlignment="1">
      <alignment horizontal="center" vertical="center" wrapText="1"/>
    </xf>
    <xf numFmtId="38" fontId="41" fillId="0" borderId="32" xfId="0" applyNumberFormat="1" applyFont="1" applyBorder="1" applyAlignment="1">
      <alignment vertical="top"/>
    </xf>
    <xf numFmtId="38" fontId="41" fillId="0" borderId="32" xfId="0" applyNumberFormat="1" applyFont="1" applyBorder="1" applyAlignment="1">
      <alignment horizontal="right" vertical="top"/>
    </xf>
    <xf numFmtId="0" fontId="53" fillId="0" borderId="0" xfId="0" applyFont="1" applyAlignment="1">
      <alignment vertical="top"/>
    </xf>
    <xf numFmtId="43" fontId="54" fillId="0" borderId="0" xfId="3" applyFont="1"/>
    <xf numFmtId="43" fontId="54" fillId="0" borderId="16" xfId="3" applyFont="1" applyBorder="1"/>
    <xf numFmtId="43" fontId="54" fillId="0" borderId="0" xfId="3" applyFont="1" applyBorder="1"/>
    <xf numFmtId="0" fontId="14" fillId="0" borderId="0" xfId="0" applyFont="1" applyAlignment="1">
      <alignment horizontal="left" vertical="top" indent="3"/>
    </xf>
    <xf numFmtId="0" fontId="22" fillId="0" borderId="0" xfId="0" applyFont="1" applyAlignment="1">
      <alignment horizontal="left" vertical="top" wrapText="1"/>
    </xf>
    <xf numFmtId="40" fontId="17" fillId="0" borderId="0" xfId="0" applyNumberFormat="1" applyFont="1" applyAlignment="1">
      <alignment horizontal="center" vertical="top" wrapText="1"/>
    </xf>
    <xf numFmtId="0" fontId="25" fillId="0" borderId="0" xfId="0" applyFont="1" applyAlignment="1">
      <alignment horizontal="left" vertical="top" wrapText="1"/>
    </xf>
    <xf numFmtId="0" fontId="22" fillId="0" borderId="0" xfId="0" applyFont="1" applyAlignment="1">
      <alignment vertical="top" wrapText="1"/>
    </xf>
    <xf numFmtId="14" fontId="12" fillId="0" borderId="5" xfId="0" applyNumberFormat="1" applyFont="1" applyBorder="1" applyAlignment="1">
      <alignment horizontal="center" vertical="center" wrapText="1"/>
    </xf>
    <xf numFmtId="14" fontId="12" fillId="0" borderId="11" xfId="0" applyNumberFormat="1" applyFont="1" applyBorder="1" applyAlignment="1">
      <alignment horizontal="center" vertical="center" wrapText="1"/>
    </xf>
    <xf numFmtId="14" fontId="12" fillId="0" borderId="9" xfId="0" applyNumberFormat="1" applyFont="1" applyBorder="1" applyAlignment="1">
      <alignment horizontal="center" vertical="center" wrapText="1"/>
    </xf>
    <xf numFmtId="40" fontId="23" fillId="4" borderId="13" xfId="1" applyNumberFormat="1" applyFont="1" applyFill="1" applyBorder="1" applyAlignment="1">
      <alignment horizontal="center" vertical="center" wrapText="1"/>
    </xf>
    <xf numFmtId="40" fontId="23" fillId="4" borderId="30" xfId="1" applyNumberFormat="1" applyFont="1" applyFill="1" applyBorder="1" applyAlignment="1">
      <alignment horizontal="center" vertical="center" wrapText="1"/>
    </xf>
    <xf numFmtId="40" fontId="23" fillId="4" borderId="31" xfId="1" applyNumberFormat="1" applyFont="1" applyFill="1" applyBorder="1" applyAlignment="1">
      <alignment horizontal="center" vertical="center" wrapText="1"/>
    </xf>
    <xf numFmtId="40" fontId="12" fillId="0" borderId="0" xfId="0" applyNumberFormat="1" applyFont="1" applyAlignment="1">
      <alignment horizontal="center" vertical="center" wrapText="1"/>
    </xf>
    <xf numFmtId="0" fontId="12" fillId="0" borderId="0" xfId="0" applyFont="1" applyAlignment="1">
      <alignment horizontal="left" vertical="top" wrapText="1"/>
    </xf>
    <xf numFmtId="0" fontId="10" fillId="0" borderId="0" xfId="0" applyFont="1" applyAlignment="1">
      <alignment horizontal="left" vertical="top" wrapText="1"/>
    </xf>
    <xf numFmtId="43" fontId="5" fillId="0" borderId="0" xfId="3" applyFont="1" applyAlignment="1">
      <alignment horizontal="left" vertical="top" wrapText="1"/>
    </xf>
    <xf numFmtId="43" fontId="2" fillId="0" borderId="0" xfId="3" applyFont="1" applyAlignment="1">
      <alignment horizontal="left" vertical="top" wrapText="1"/>
    </xf>
    <xf numFmtId="43" fontId="4" fillId="0" borderId="0" xfId="3" applyFont="1" applyAlignment="1">
      <alignment horizontal="left" vertical="top" wrapText="1"/>
    </xf>
    <xf numFmtId="43" fontId="4" fillId="0" borderId="0" xfId="3" applyFont="1" applyBorder="1" applyAlignment="1">
      <alignment horizontal="left" vertical="top" wrapText="1"/>
    </xf>
    <xf numFmtId="43" fontId="3" fillId="0" borderId="0" xfId="3" applyFont="1" applyAlignment="1">
      <alignment horizontal="left" vertical="top" wrapText="1"/>
    </xf>
    <xf numFmtId="0" fontId="0" fillId="0" borderId="0" xfId="0" applyAlignment="1">
      <alignment horizontal="left" vertical="top" wrapText="1"/>
    </xf>
    <xf numFmtId="0" fontId="31" fillId="0" borderId="0" xfId="0" applyFont="1" applyAlignment="1">
      <alignment horizontal="left" vertical="top" wrapText="1"/>
    </xf>
    <xf numFmtId="0" fontId="0" fillId="0" borderId="0" xfId="0" applyAlignment="1">
      <alignment horizontal="left" vertical="top"/>
    </xf>
    <xf numFmtId="0" fontId="33" fillId="2" borderId="0" xfId="0" applyFont="1" applyFill="1" applyAlignment="1">
      <alignment horizontal="left" vertical="top" wrapText="1"/>
    </xf>
    <xf numFmtId="0" fontId="2" fillId="0" borderId="0" xfId="0" applyFont="1" applyAlignment="1">
      <alignment horizontal="left" vertical="top" wrapText="1"/>
    </xf>
    <xf numFmtId="0" fontId="7" fillId="3" borderId="0" xfId="2" applyFont="1" applyFill="1" applyAlignment="1">
      <alignment horizontal="left" vertical="top" wrapText="1"/>
    </xf>
    <xf numFmtId="0" fontId="7" fillId="0" borderId="0" xfId="2" applyFont="1" applyAlignment="1">
      <alignment horizontal="left" vertical="top" wrapText="1"/>
    </xf>
    <xf numFmtId="0" fontId="2" fillId="0" borderId="0" xfId="0" applyFont="1" applyAlignment="1">
      <alignment horizontal="left" vertical="top"/>
    </xf>
    <xf numFmtId="0" fontId="0" fillId="3" borderId="0" xfId="0" applyFill="1" applyAlignment="1">
      <alignment horizontal="left" vertical="top" wrapText="1"/>
    </xf>
    <xf numFmtId="0" fontId="0" fillId="2" borderId="0" xfId="0" applyFill="1" applyAlignment="1">
      <alignment horizontal="left" vertical="top" wrapText="1"/>
    </xf>
    <xf numFmtId="38" fontId="40" fillId="5" borderId="26" xfId="0" applyNumberFormat="1" applyFont="1" applyFill="1" applyBorder="1" applyAlignment="1">
      <alignment horizontal="center" vertical="top"/>
    </xf>
    <xf numFmtId="38" fontId="40" fillId="5" borderId="27" xfId="0" applyNumberFormat="1" applyFont="1" applyFill="1" applyBorder="1" applyAlignment="1">
      <alignment horizontal="center" vertical="top"/>
    </xf>
    <xf numFmtId="38" fontId="40" fillId="0" borderId="26" xfId="0" applyNumberFormat="1" applyFont="1" applyBorder="1" applyAlignment="1">
      <alignment horizontal="center" vertical="top"/>
    </xf>
    <xf numFmtId="38" fontId="40" fillId="0" borderId="27" xfId="0" applyNumberFormat="1" applyFont="1" applyBorder="1" applyAlignment="1">
      <alignment horizontal="center" vertical="top"/>
    </xf>
    <xf numFmtId="38" fontId="41" fillId="0" borderId="13" xfId="0" applyNumberFormat="1" applyFont="1" applyBorder="1" applyAlignment="1">
      <alignment horizontal="left" vertical="center" wrapText="1"/>
    </xf>
    <xf numFmtId="38" fontId="41" fillId="0" borderId="30" xfId="0" applyNumberFormat="1" applyFont="1" applyBorder="1" applyAlignment="1">
      <alignment horizontal="left" vertical="center" wrapText="1"/>
    </xf>
    <xf numFmtId="38" fontId="41" fillId="0" borderId="19" xfId="0" applyNumberFormat="1" applyFont="1" applyBorder="1" applyAlignment="1">
      <alignment horizontal="left" vertical="center" wrapText="1"/>
    </xf>
    <xf numFmtId="38" fontId="40" fillId="5" borderId="13" xfId="0" applyNumberFormat="1" applyFont="1" applyFill="1" applyBorder="1" applyAlignment="1">
      <alignment horizontal="center" vertical="center" wrapText="1"/>
    </xf>
    <xf numFmtId="38" fontId="40" fillId="5" borderId="30" xfId="0" applyNumberFormat="1" applyFont="1" applyFill="1" applyBorder="1" applyAlignment="1">
      <alignment horizontal="center" vertical="center" wrapText="1"/>
    </xf>
    <xf numFmtId="38" fontId="40" fillId="5" borderId="31" xfId="0" applyNumberFormat="1" applyFont="1" applyFill="1" applyBorder="1" applyAlignment="1">
      <alignment horizontal="center" vertical="center" wrapText="1"/>
    </xf>
  </cellXfs>
  <cellStyles count="45">
    <cellStyle name="Comma" xfId="3" builtinId="3"/>
    <cellStyle name="Comma 2" xfId="5" xr:uid="{00000000-0005-0000-0000-000001000000}"/>
    <cellStyle name="Comma 2 2" xfId="44" xr:uid="{00000000-0005-0000-0000-000002000000}"/>
    <cellStyle name="Comma 3" xfId="6" xr:uid="{00000000-0005-0000-0000-000003000000}"/>
    <cellStyle name="Currency" xfId="1" builtinId="4"/>
    <cellStyle name="Currency 2" xfId="7" xr:uid="{00000000-0005-0000-0000-000005000000}"/>
    <cellStyle name="Currency 3" xfId="8" xr:uid="{00000000-0005-0000-0000-000006000000}"/>
    <cellStyle name="Normal" xfId="0" builtinId="0"/>
    <cellStyle name="Normal 10" xfId="9" xr:uid="{00000000-0005-0000-0000-000008000000}"/>
    <cellStyle name="Normal 11" xfId="10" xr:uid="{00000000-0005-0000-0000-000009000000}"/>
    <cellStyle name="Normal 12" xfId="11" xr:uid="{00000000-0005-0000-0000-00000A000000}"/>
    <cellStyle name="Normal 13" xfId="12" xr:uid="{00000000-0005-0000-0000-00000B000000}"/>
    <cellStyle name="Normal 14" xfId="13" xr:uid="{00000000-0005-0000-0000-00000C000000}"/>
    <cellStyle name="Normal 15" xfId="14" xr:uid="{00000000-0005-0000-0000-00000D000000}"/>
    <cellStyle name="Normal 16" xfId="15" xr:uid="{00000000-0005-0000-0000-00000E000000}"/>
    <cellStyle name="Normal 17" xfId="16" xr:uid="{00000000-0005-0000-0000-00000F000000}"/>
    <cellStyle name="Normal 18" xfId="17" xr:uid="{00000000-0005-0000-0000-000010000000}"/>
    <cellStyle name="Normal 19" xfId="18" xr:uid="{00000000-0005-0000-0000-000011000000}"/>
    <cellStyle name="Normal 2" xfId="19" xr:uid="{00000000-0005-0000-0000-000012000000}"/>
    <cellStyle name="Normal 2 2" xfId="43" xr:uid="{00000000-0005-0000-0000-000013000000}"/>
    <cellStyle name="Normal 2 3" xfId="42" xr:uid="{00000000-0005-0000-0000-000014000000}"/>
    <cellStyle name="Normal 20" xfId="20" xr:uid="{00000000-0005-0000-0000-000015000000}"/>
    <cellStyle name="Normal 21" xfId="21" xr:uid="{00000000-0005-0000-0000-000016000000}"/>
    <cellStyle name="Normal 22" xfId="22" xr:uid="{00000000-0005-0000-0000-000017000000}"/>
    <cellStyle name="Normal 23" xfId="23" xr:uid="{00000000-0005-0000-0000-000018000000}"/>
    <cellStyle name="Normal 24" xfId="24" xr:uid="{00000000-0005-0000-0000-000019000000}"/>
    <cellStyle name="Normal 25" xfId="25" xr:uid="{00000000-0005-0000-0000-00001A000000}"/>
    <cellStyle name="Normal 26" xfId="26" xr:uid="{00000000-0005-0000-0000-00001B000000}"/>
    <cellStyle name="Normal 27" xfId="27" xr:uid="{00000000-0005-0000-0000-00001C000000}"/>
    <cellStyle name="Normal 28" xfId="28" xr:uid="{00000000-0005-0000-0000-00001D000000}"/>
    <cellStyle name="Normal 29" xfId="29" xr:uid="{00000000-0005-0000-0000-00001E000000}"/>
    <cellStyle name="Normal 3" xfId="30" xr:uid="{00000000-0005-0000-0000-00001F000000}"/>
    <cellStyle name="Normal 3 2" xfId="31" xr:uid="{00000000-0005-0000-0000-000020000000}"/>
    <cellStyle name="Normal 4" xfId="32" xr:uid="{00000000-0005-0000-0000-000021000000}"/>
    <cellStyle name="Normal 4 2" xfId="33" xr:uid="{00000000-0005-0000-0000-000022000000}"/>
    <cellStyle name="Normal 5" xfId="34" xr:uid="{00000000-0005-0000-0000-000023000000}"/>
    <cellStyle name="Normal 5 2" xfId="35" xr:uid="{00000000-0005-0000-0000-000024000000}"/>
    <cellStyle name="Normal 6" xfId="36" xr:uid="{00000000-0005-0000-0000-000025000000}"/>
    <cellStyle name="Normal 7" xfId="37" xr:uid="{00000000-0005-0000-0000-000026000000}"/>
    <cellStyle name="Normal 8" xfId="38" xr:uid="{00000000-0005-0000-0000-000027000000}"/>
    <cellStyle name="Normal 9" xfId="39" xr:uid="{00000000-0005-0000-0000-000028000000}"/>
    <cellStyle name="Normal_Notes" xfId="2" xr:uid="{00000000-0005-0000-0000-000029000000}"/>
    <cellStyle name="Percent" xfId="4" builtinId="5"/>
    <cellStyle name="Percent 2" xfId="40" xr:uid="{00000000-0005-0000-0000-00002B000000}"/>
    <cellStyle name="Percent 3" xfId="41" xr:uid="{00000000-0005-0000-0000-00002C000000}"/>
  </cellStyles>
  <dxfs count="178">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border diagonalUp="0" diagonalDown="0">
        <left style="thin">
          <color indexed="64"/>
        </left>
        <right style="thin">
          <color indexed="64"/>
        </right>
        <top/>
        <bottom/>
        <vertical/>
        <horizontal/>
      </border>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fill>
        <patternFill patternType="none">
          <fgColor indexed="64"/>
          <bgColor indexed="65"/>
        </patternFill>
      </fill>
      <alignment horizontal="general" vertical="top" textRotation="0" wrapText="0"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164" formatCode="mm/dd/yy;@"/>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center"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family val="2"/>
        <scheme val="none"/>
      </font>
      <numFmt numFmtId="8" formatCode="#,##0.00_);[Red]\(#,##0.00\)"/>
      <alignment horizontal="left"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right" vertical="top" textRotation="0" wrapText="1" indent="0" justifyLastLine="0" shrinkToFit="0" readingOrder="0"/>
    </dxf>
    <dxf>
      <font>
        <b val="0"/>
        <i val="0"/>
        <strike val="0"/>
        <condense val="0"/>
        <extend val="0"/>
        <outline val="0"/>
        <shadow val="0"/>
        <u val="none"/>
        <vertAlign val="baseline"/>
        <sz val="9"/>
        <color theme="1"/>
        <name val="Arial Unicode MS"/>
        <scheme val="none"/>
      </font>
      <numFmt numFmtId="8" formatCode="#,##0.00_);[Red]\(#,##0.00\)"/>
      <alignment horizontal="center" vertical="top" textRotation="0" wrapText="1"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border diagonalUp="0" diagonalDown="0" outline="0">
        <right/>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border diagonalUp="0" diagonalDown="0" outline="0">
        <top style="thin">
          <color indexed="64"/>
        </top>
        <bottom style="thin">
          <color indexed="64"/>
        </bottom>
      </border>
    </dxf>
    <dxf>
      <font>
        <strike val="0"/>
        <outline val="0"/>
        <shadow val="0"/>
        <u val="none"/>
        <vertAlign val="baseline"/>
        <sz val="9"/>
        <name val="Arial Unicode MS"/>
        <scheme val="none"/>
      </font>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strike val="0"/>
        <outline val="0"/>
        <shadow val="0"/>
        <u val="none"/>
        <vertAlign val="baseline"/>
        <sz val="9"/>
        <name val="Arial Unicode MS"/>
        <scheme val="none"/>
      </font>
      <numFmt numFmtId="8" formatCode="#,##0.00_);[Red]\(#,##0.00\)"/>
    </dxf>
    <dxf>
      <font>
        <strike val="0"/>
        <outline val="0"/>
        <shadow val="0"/>
        <u val="none"/>
        <vertAlign val="baseline"/>
        <sz val="9"/>
        <name val="Arial Unicode MS"/>
        <scheme val="none"/>
      </font>
      <numFmt numFmtId="8" formatCode="#,##0.00_);[Red]\(#,##0.00\)"/>
    </dxf>
    <dxf>
      <font>
        <strike val="0"/>
        <outline val="0"/>
        <shadow val="0"/>
        <u val="none"/>
        <vertAlign val="baseline"/>
        <sz val="9"/>
        <name val="Arial Unicode MS"/>
        <scheme val="none"/>
      </font>
      <numFmt numFmtId="8" formatCode="#,##0.00_);[Red]\(#,##0.00\)"/>
      <alignment horizontal="general" vertical="top" textRotation="0" wrapText="1" indent="0" justifyLastLine="0" shrinkToFit="0" readingOrder="0"/>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border diagonalUp="0" diagonalDown="0" outline="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strike val="0"/>
        <outline val="0"/>
        <shadow val="0"/>
        <u val="none"/>
        <vertAlign val="baseline"/>
        <sz val="9"/>
        <name val="Arial Unicode MS"/>
        <scheme val="none"/>
      </font>
      <numFmt numFmtId="8" formatCode="#,##0.00_);[Red]\(#,##0.00\)"/>
    </dxf>
    <dxf>
      <font>
        <strike val="0"/>
        <outline val="0"/>
        <shadow val="0"/>
        <u val="none"/>
        <vertAlign val="baseline"/>
        <sz val="9"/>
        <name val="Arial Unicode MS"/>
        <scheme val="none"/>
      </font>
      <numFmt numFmtId="8" formatCode="#,##0.00_);[Red]\(#,##0.00\)"/>
    </dxf>
    <dxf>
      <font>
        <b val="0"/>
        <strike val="0"/>
        <outline val="0"/>
        <shadow val="0"/>
        <u val="none"/>
        <vertAlign val="baseline"/>
        <sz val="9"/>
        <name val="Arial Unicode MS"/>
        <scheme val="none"/>
      </font>
      <numFmt numFmtId="8" formatCode="#,##0.00_);[Red]\(#,##0.00\)"/>
      <alignment horizontal="general" vertical="top" textRotation="0" wrapText="1" indent="0" justifyLastLine="0" shrinkToFit="0" readingOrder="0"/>
      <border diagonalUp="0" diagonalDown="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border diagonalUp="0" diagonalDown="0">
        <top style="thin">
          <color indexed="64"/>
        </top>
        <bottom style="thin">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dxf>
    <dxf>
      <border>
        <top style="thin">
          <color indexed="64"/>
        </top>
      </border>
    </dxf>
    <dxf>
      <border diagonalUp="0" diagonalDown="0">
        <left style="thin">
          <color indexed="64"/>
        </left>
        <right style="medium">
          <color indexed="64"/>
        </right>
        <top style="medium">
          <color indexed="64"/>
        </top>
        <bottom style="medium">
          <color indexed="64"/>
        </bottom>
      </border>
    </dxf>
    <dxf>
      <font>
        <b val="0"/>
        <strike val="0"/>
        <outline val="0"/>
        <shadow val="0"/>
        <u val="none"/>
        <vertAlign val="baseline"/>
        <sz val="9"/>
        <name val="Arial Unicode MS"/>
        <scheme val="none"/>
      </font>
      <numFmt numFmtId="8" formatCode="#,##0.00_);[Red]\(#,##0.00\)"/>
      <alignment horizontal="general" vertical="top" textRotation="0" wrapText="0" indent="0" justifyLastLine="0" shrinkToFit="0" readingOrder="0"/>
    </dxf>
    <dxf>
      <border>
        <bottom style="thin">
          <color indexed="64"/>
        </bottom>
      </border>
    </dxf>
    <dxf>
      <font>
        <b/>
        <i val="0"/>
        <strike val="0"/>
        <condense val="0"/>
        <extend val="0"/>
        <outline val="0"/>
        <shadow val="0"/>
        <u val="none"/>
        <vertAlign val="baseline"/>
        <sz val="9"/>
        <color auto="1"/>
        <name val="Arial Unicode MS"/>
        <scheme val="none"/>
      </font>
      <numFmt numFmtId="8" formatCode="#,##0.00_);[Red]\(#,##0.00\)"/>
      <alignment horizontal="center" vertical="top" textRotation="0" wrapText="1" indent="0" justifyLastLine="0" shrinkToFit="0" readingOrder="0"/>
    </dxf>
    <dxf>
      <fill>
        <patternFill>
          <bgColor rgb="FFD8E4BC"/>
        </patternFill>
      </fill>
    </dxf>
    <dxf>
      <font>
        <b/>
        <i val="0"/>
      </font>
    </dxf>
    <dxf>
      <border>
        <left style="thin">
          <color auto="1"/>
        </left>
        <right style="thin">
          <color auto="1"/>
        </right>
        <top style="thin">
          <color auto="1"/>
        </top>
        <bottom style="thin">
          <color auto="1"/>
        </bottom>
        <vertical style="thin">
          <color auto="1"/>
        </vertical>
        <horizontal style="thin">
          <color auto="1"/>
        </horizontal>
      </border>
    </dxf>
    <dxf>
      <fill>
        <patternFill>
          <bgColor rgb="FFA2B9E2"/>
        </patternFill>
      </fill>
    </dxf>
    <dxf>
      <fill>
        <patternFill>
          <bgColor rgb="FFF4AF80"/>
        </patternFill>
      </fill>
    </dxf>
    <dxf>
      <fill>
        <patternFill>
          <bgColor rgb="FFCFB855"/>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4" defaultTableStyle="TableStyleMedium2" defaultPivotStyle="PivotStyleLight16">
    <tableStyle name="Table Style 1" pivot="0" count="2" xr9:uid="{00000000-0011-0000-FFFF-FFFF00000000}">
      <tableStyleElement type="wholeTable" dxfId="177"/>
      <tableStyleElement type="firstRowStripe" dxfId="176"/>
    </tableStyle>
    <tableStyle name="Table Style 2" pivot="0" count="1" xr9:uid="{00000000-0011-0000-FFFF-FFFF01000000}">
      <tableStyleElement type="firstRowStripe" dxfId="175"/>
    </tableStyle>
    <tableStyle name="Table Style 3" pivot="0" count="1" xr9:uid="{00000000-0011-0000-FFFF-FFFF02000000}">
      <tableStyleElement type="firstRowStripe" dxfId="174"/>
    </tableStyle>
    <tableStyle name="Table Style 4" pivot="0" count="3" xr9:uid="{00000000-0011-0000-FFFF-FFFF03000000}">
      <tableStyleElement type="wholeTable" dxfId="173"/>
      <tableStyleElement type="headerRow" dxfId="172"/>
      <tableStyleElement type="firstRowStripe" dxfId="171"/>
    </tableStyle>
  </tableStyles>
  <colors>
    <mruColors>
      <color rgb="FFD8E4BC"/>
      <color rgb="FFE4DFEC"/>
      <color rgb="FFFFFFCC"/>
      <color rgb="FFDBB7FF"/>
      <color rgb="FFD9D9D9"/>
      <color rgb="FFC5D9F1"/>
      <color rgb="FFFABF8F"/>
      <color rgb="FFF2DCDB"/>
      <color rgb="FFACEAAC"/>
      <color rgb="FFC9FF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1376639</xdr:colOff>
      <xdr:row>3</xdr:row>
      <xdr:rowOff>190500</xdr:rowOff>
    </xdr:from>
    <xdr:ext cx="184730" cy="937629"/>
    <xdr:sp macro="" textlink="">
      <xdr:nvSpPr>
        <xdr:cNvPr id="2" name="Rectangle 1">
          <a:extLst>
            <a:ext uri="{FF2B5EF4-FFF2-40B4-BE49-F238E27FC236}">
              <a16:creationId xmlns:a16="http://schemas.microsoft.com/office/drawing/2014/main" id="{00000000-0008-0000-0000-000002000000}"/>
            </a:ext>
          </a:extLst>
        </xdr:cNvPr>
        <xdr:cNvSpPr/>
      </xdr:nvSpPr>
      <xdr:spPr>
        <a:xfrm>
          <a:off x="5388345" y="1030941"/>
          <a:ext cx="184730" cy="937629"/>
        </a:xfrm>
        <a:prstGeom prst="rect">
          <a:avLst/>
        </a:prstGeom>
        <a:noFill/>
      </xdr:spPr>
      <xdr:txBody>
        <a:bodyPr wrap="none" lIns="91440" tIns="45720" rIns="91440" bIns="45720">
          <a:spAutoFit/>
          <a:scene3d>
            <a:camera prst="orthographicFront"/>
            <a:lightRig rig="flat" dir="tl">
              <a:rot lat="0" lon="0" rev="6600000"/>
            </a:lightRig>
          </a:scene3d>
          <a:sp3d extrusionH="25400" contourW="8890">
            <a:bevelT w="38100" h="31750"/>
            <a:contourClr>
              <a:schemeClr val="accent2">
                <a:shade val="75000"/>
              </a:schemeClr>
            </a:contourClr>
          </a:sp3d>
        </a:bodyPr>
        <a:lstStyle/>
        <a:p>
          <a:pPr algn="ctr"/>
          <a:endParaRPr lang="en-US" sz="5400" b="1" cap="none" spc="0">
            <a:ln w="11430"/>
            <a:solidFill>
              <a:srgbClr val="FF0000"/>
            </a:solidFill>
            <a:effectLst>
              <a:outerShdw blurRad="50800" dist="39000" dir="5460000" algn="tl">
                <a:srgbClr val="000000">
                  <a:alpha val="38000"/>
                </a:srgbClr>
              </a:outerShdw>
            </a:effectLst>
          </a:endParaRPr>
        </a:p>
      </xdr:txBody>
    </xdr:sp>
    <xdr:clientData/>
  </xdr:one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adjustColumnWidth="0" connectionId="1" xr16:uid="{00000000-0016-0000-0000-000000000000}" autoFormatId="16" applyNumberFormats="0" applyBorderFormats="0" applyFontFormats="0" applyPatternFormats="0" applyAlignmentFormats="0" applyWidthHeightFormats="0">
  <queryTableRefresh nextId="39" unboundColumnsRight="2">
    <queryTableFields count="36">
      <queryTableField id="1" name="ADOT#" tableColumnId="1"/>
      <queryTableField id="2" name="TIP#" tableColumnId="2"/>
      <queryTableField id="3" name="Sponsor" tableColumnId="3"/>
      <queryTableField id="4" name="Action/15" tableColumnId="4"/>
      <queryTableField id="5" name="Location" tableColumnId="5"/>
      <queryTableField id="6" name="RTE" tableColumnId="6"/>
      <queryTableField id="7" name="SEC" tableColumnId="7"/>
      <queryTableField id="8" name="SEQ" tableColumnId="8"/>
      <queryTableField id="9" name="PB Expected" tableColumnId="9"/>
      <queryTableField id="10" name="PB Received" tableColumnId="10"/>
      <queryTableField id="11" name="PF Transmitted" tableColumnId="11"/>
      <queryTableField id="12" name="Finance Authorization" tableColumnId="12"/>
      <queryTableField id="13" name="HURF EX" tableColumnId="13"/>
      <queryTableField id="14" name="HSIP" tableColumnId="14"/>
      <queryTableField id="15" name="PL" tableColumnId="15"/>
      <queryTableField id="16" name="PL-SATO" tableColumnId="16"/>
      <queryTableField id="17" name="SPR" tableColumnId="17"/>
      <queryTableField id="18" name="STP &lt;5" tableColumnId="18"/>
      <queryTableField id="19" name="STP 5-200" tableColumnId="19"/>
      <queryTableField id="20" name="STP 5-50" tableColumnId="20"/>
      <queryTableField id="21" name="STP 50-200" tableColumnId="21"/>
      <queryTableField id="22" name="STP OVER 200K" tableColumnId="22"/>
      <queryTableField id="23" name="STP OTHER" tableColumnId="23"/>
      <queryTableField id="24" name="HIP &gt;200" tableColumnId="24"/>
      <queryTableField id="25" name="TAP &lt;5" tableColumnId="25"/>
      <queryTableField id="26" name="TAP 5-2" tableColumnId="26"/>
      <queryTableField id="27" name="TAP 5-50" tableColumnId="27"/>
      <queryTableField id="28" name="TAP 50-200" tableColumnId="28"/>
      <queryTableField id="29" name="TAP &gt;200" tableColumnId="29"/>
      <queryTableField id="30" name="TAP Other" tableColumnId="30"/>
      <queryTableField id="31" name="CRP &lt;5" tableColumnId="31"/>
      <queryTableField id="32" name="CRP 5-50" tableColumnId="32"/>
      <queryTableField id="33" name="CRP 50-200" tableColumnId="33"/>
      <queryTableField id="34" name="CRP &gt;200" tableColumnId="34"/>
      <queryTableField id="37" dataBound="0" tableColumnId="37"/>
      <queryTableField id="38" dataBound="0" tableColumnId="38"/>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adjustColumnWidth="0" connectionId="4" xr16:uid="{00000000-0016-0000-0000-000001000000}" autoFormatId="16" applyNumberFormats="0" applyBorderFormats="0" applyFontFormats="0" applyPatternFormats="0" applyAlignmentFormats="0" applyWidthHeightFormats="0">
  <queryTableRefresh nextId="37" unboundColumnsRight="2">
    <queryTableFields count="36">
      <queryTableField id="1" name="ADOT#" tableColumnId="35"/>
      <queryTableField id="2" name="TIP#" tableColumnId="36"/>
      <queryTableField id="3" name="Sponsor" tableColumnId="37"/>
      <queryTableField id="4" name="Action/15" tableColumnId="38"/>
      <queryTableField id="5" name="Location" tableColumnId="39"/>
      <queryTableField id="6" name="RTE" tableColumnId="40"/>
      <queryTableField id="7" name="SEC" tableColumnId="41"/>
      <queryTableField id="8" name="SEQ" tableColumnId="42"/>
      <queryTableField id="9" name="PB Expected" tableColumnId="43"/>
      <queryTableField id="10" name="PB Received" tableColumnId="44"/>
      <queryTableField id="11" name="PF Transmitted" tableColumnId="45"/>
      <queryTableField id="12" name="Finance Authorization" tableColumnId="46"/>
      <queryTableField id="13" name="HURF EX" tableColumnId="47"/>
      <queryTableField id="14" name="HSIP" tableColumnId="48"/>
      <queryTableField id="15" name="PL" tableColumnId="49"/>
      <queryTableField id="16" name="PL-SATO" tableColumnId="50"/>
      <queryTableField id="17" name="SPR" tableColumnId="51"/>
      <queryTableField id="18" name="STP &lt;5" tableColumnId="52"/>
      <queryTableField id="19" name="STP 5-200" tableColumnId="53"/>
      <queryTableField id="20" name="STP 5-50" tableColumnId="54"/>
      <queryTableField id="21" name="STP 50-200" tableColumnId="55"/>
      <queryTableField id="22" name="STP OVER 200K" tableColumnId="56"/>
      <queryTableField id="23" name="STP OTHER" tableColumnId="57"/>
      <queryTableField id="24" name="HIP &gt;200" tableColumnId="58"/>
      <queryTableField id="25" name="TAP &lt;5" tableColumnId="59"/>
      <queryTableField id="26" name="TAP 5-2" tableColumnId="60"/>
      <queryTableField id="27" name="TAP 5-50" tableColumnId="61"/>
      <queryTableField id="28" name="TAP 50-200" tableColumnId="62"/>
      <queryTableField id="29" name="TAP &gt;200" tableColumnId="63"/>
      <queryTableField id="30" name="TAP Other" tableColumnId="64"/>
      <queryTableField id="31" name="CRP &lt;5" tableColumnId="65"/>
      <queryTableField id="32" name="CRP 5-50" tableColumnId="66"/>
      <queryTableField id="33" name="CRP 50-200" tableColumnId="67"/>
      <queryTableField id="34" name="CRP &gt;200" tableColumnId="68"/>
      <queryTableField id="35" dataBound="0" tableColumnId="69"/>
      <queryTableField id="36" dataBound="0" tableColumnId="70"/>
    </queryTableFields>
  </queryTableRefresh>
</queryTable>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Query from MS Access Database" growShrinkType="insertClear" connectionId="2" xr16:uid="{00000000-0016-0000-0100-000002000000}" autoFormatId="16" applyNumberFormats="0" applyBorderFormats="0" applyFontFormats="0" applyPatternFormats="0" applyAlignmentFormats="0" applyWidthHeightFormats="0">
  <queryTableRefresh nextId="32">
    <queryTableFields count="31">
      <queryTableField id="1" name="Transaction Year" tableColumnId="62"/>
      <queryTableField id="2" name="Transaction Type" tableColumnId="63"/>
      <queryTableField id="3" name="Number" tableColumnId="64"/>
      <queryTableField id="4" name="From" tableColumnId="65"/>
      <queryTableField id="5" name="To" tableColumnId="66"/>
      <queryTableField id="6" name="Repayment Year" tableColumnId="67"/>
      <queryTableField id="7" name="Project8" tableColumnId="68"/>
      <queryTableField id="8" name="Notes" tableColumnId="69"/>
      <queryTableField id="9" name="Total" tableColumnId="70"/>
      <queryTableField id="10" name="HURF Exchange" tableColumnId="71"/>
      <queryTableField id="11" name="HSIP" tableColumnId="72"/>
      <queryTableField id="12" name="PLAN" tableColumnId="73"/>
      <queryTableField id="13" name="PLAN SATO" tableColumnId="74"/>
      <queryTableField id="14" name="SPR" tableColumnId="75"/>
      <queryTableField id="15" name="STP &lt;5" tableColumnId="76"/>
      <queryTableField id="16" name="STP 5-2" tableColumnId="77"/>
      <queryTableField id="17" name="STP 5-50" tableColumnId="78"/>
      <queryTableField id="18" name="STP 50-200" tableColumnId="79"/>
      <queryTableField id="19" name="STP &gt;200" tableColumnId="80"/>
      <queryTableField id="20" name="STP Flex" tableColumnId="81"/>
      <queryTableField id="21" name="HIP &gt;200" tableColumnId="82"/>
      <queryTableField id="22" name="TAP &lt;5" tableColumnId="83"/>
      <queryTableField id="23" name="TAP 5-2" tableColumnId="84"/>
      <queryTableField id="24" name="TAP 5-50" tableColumnId="85"/>
      <queryTableField id="25" name="TAP 50-200" tableColumnId="86"/>
      <queryTableField id="26" name="TAP &gt;200" tableColumnId="87"/>
      <queryTableField id="27" name="TAP Flex" tableColumnId="88"/>
      <queryTableField id="28" name="CRP &lt;5" tableColumnId="89"/>
      <queryTableField id="29" name="CRP 5-50" tableColumnId="90"/>
      <queryTableField id="30" name="CRP 50-200" tableColumnId="91"/>
      <queryTableField id="31" name="CRP &gt;200" tableColumnId="92"/>
    </queryTableFields>
  </queryTableRefresh>
</queryTable>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Query from MS Access Database_1" growShrinkType="insertClear" connectionId="3" xr16:uid="{00000000-0016-0000-0100-000003000000}" autoFormatId="16" applyNumberFormats="0" applyBorderFormats="0" applyFontFormats="0" applyPatternFormats="0" applyAlignmentFormats="0" applyWidthHeightFormats="0">
  <queryTableRefresh nextId="32">
    <queryTableFields count="31">
      <queryTableField id="1" name="Transaction Year" tableColumnId="63"/>
      <queryTableField id="2" name="Transaction Type" tableColumnId="64"/>
      <queryTableField id="3" name="Number" tableColumnId="65"/>
      <queryTableField id="4" name="From" tableColumnId="66"/>
      <queryTableField id="5" name="To" tableColumnId="67"/>
      <queryTableField id="6" name="Repayment Year" tableColumnId="68"/>
      <queryTableField id="7" name="Project8" tableColumnId="69"/>
      <queryTableField id="8" name="Notes" tableColumnId="70"/>
      <queryTableField id="9" name="Total" tableColumnId="71"/>
      <queryTableField id="10" name="HURF Exchange" tableColumnId="72"/>
      <queryTableField id="11" name="HSIP" tableColumnId="73"/>
      <queryTableField id="12" name="PLAN" tableColumnId="74"/>
      <queryTableField id="13" name="PLAN SATO" tableColumnId="75"/>
      <queryTableField id="14" name="SPR" tableColumnId="76"/>
      <queryTableField id="15" name="STP &lt;5" tableColumnId="77"/>
      <queryTableField id="16" name="STP 5-2" tableColumnId="78"/>
      <queryTableField id="17" name="STP 5-50" tableColumnId="79"/>
      <queryTableField id="18" name="STP 50-200" tableColumnId="80"/>
      <queryTableField id="19" name="STP &gt;200" tableColumnId="81"/>
      <queryTableField id="20" name="STP Flex" tableColumnId="82"/>
      <queryTableField id="21" name="HIP &gt;200" tableColumnId="83"/>
      <queryTableField id="22" name="TAP &lt;5" tableColumnId="84"/>
      <queryTableField id="23" name="TAP 5-2" tableColumnId="85"/>
      <queryTableField id="24" name="TAP 5-50" tableColumnId="86"/>
      <queryTableField id="25" name="TAP 50-200" tableColumnId="87"/>
      <queryTableField id="26" name="TAP &gt;200" tableColumnId="88"/>
      <queryTableField id="27" name="TAP Flex" tableColumnId="89"/>
      <queryTableField id="28" name="CRP &lt;5" tableColumnId="90"/>
      <queryTableField id="29" name="CRP 5-50" tableColumnId="91"/>
      <queryTableField id="30" name="CRP 50-200" tableColumnId="92"/>
      <queryTableField id="31" name="CRP &gt;200" tableColumnId="93"/>
    </queryTable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3.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_rels/table4.xml.rels><?xml version="1.0" encoding="UTF-8" standalone="yes"?>
<Relationships xmlns="http://schemas.openxmlformats.org/package/2006/relationships"><Relationship Id="rId1" Type="http://schemas.openxmlformats.org/officeDocument/2006/relationships/queryTable" Target="../queryTables/queryTable3.xml"/></Relationships>
</file>

<file path=xl/tables/_rels/table5.xml.rels><?xml version="1.0" encoding="UTF-8" standalone="yes"?>
<Relationships xmlns="http://schemas.openxmlformats.org/package/2006/relationships"><Relationship Id="rId1" Type="http://schemas.openxmlformats.org/officeDocument/2006/relationships/queryTable" Target="../queryTables/queryTable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N51:AH55" totalsRowShown="0" headerRowDxfId="170" dataDxfId="168" headerRowBorderDxfId="169" tableBorderDxfId="167" totalsRowBorderDxfId="166" headerRowCellStyle="Currency" dataCellStyle="Comma">
  <autoFilter ref="N51:AH55" xr:uid="{00000000-0009-0000-0100-000006000000}"/>
  <tableColumns count="21">
    <tableColumn id="3" xr3:uid="{00000000-0010-0000-0000-000003000000}" name="HSIP" dataDxfId="165" dataCellStyle="Comma"/>
    <tableColumn id="4" xr3:uid="{00000000-0010-0000-0000-000004000000}" name="PL" dataDxfId="164" dataCellStyle="Comma"/>
    <tableColumn id="5" xr3:uid="{00000000-0010-0000-0000-000005000000}" name="PL-SATO" dataDxfId="163" dataCellStyle="Comma"/>
    <tableColumn id="2" xr3:uid="{00000000-0010-0000-0000-000002000000}" name="SPR" dataDxfId="162">
      <calculatedColumnFormula>+S47</calculatedColumnFormula>
    </tableColumn>
    <tableColumn id="1" xr3:uid="{00000000-0010-0000-0000-000001000000}" name="STP &lt;5" dataDxfId="161">
      <calculatedColumnFormula>+T47</calculatedColumnFormula>
    </tableColumn>
    <tableColumn id="6" xr3:uid="{00000000-0010-0000-0000-000006000000}" name="STP 5-2" dataDxfId="160" dataCellStyle="Comma"/>
    <tableColumn id="7" xr3:uid="{00000000-0010-0000-0000-000007000000}" name="STP 5-50" dataDxfId="159" dataCellStyle="Comma"/>
    <tableColumn id="12" xr3:uid="{00000000-0010-0000-0000-00000C000000}" name="STP 50-200" dataDxfId="158"/>
    <tableColumn id="15" xr3:uid="{00000000-0010-0000-0000-00000F000000}" name="STP OVER 200K" dataDxfId="157"/>
    <tableColumn id="13" xr3:uid="{00000000-0010-0000-0000-00000D000000}" name="STP OTHER" dataDxfId="156"/>
    <tableColumn id="8" xr3:uid="{00000000-0010-0000-0000-000008000000}" name="HIP &gt; 200" dataDxfId="155" dataCellStyle="Comma"/>
    <tableColumn id="9" xr3:uid="{00000000-0010-0000-0000-000009000000}" name="TAP &lt;5" dataDxfId="154" dataCellStyle="Comma"/>
    <tableColumn id="14" xr3:uid="{00000000-0010-0000-0000-00000E000000}" name="TAP 5-2" dataDxfId="153"/>
    <tableColumn id="10" xr3:uid="{00000000-0010-0000-0000-00000A000000}" name="TAP 5-50" dataDxfId="152" dataCellStyle="Comma"/>
    <tableColumn id="11" xr3:uid="{00000000-0010-0000-0000-00000B000000}" name="TAP 50-200" dataDxfId="151" dataCellStyle="Comma"/>
    <tableColumn id="16" xr3:uid="{00000000-0010-0000-0000-000010000000}" name="TA OVER 200K" dataDxfId="150" dataCellStyle="Comma"/>
    <tableColumn id="17" xr3:uid="{00000000-0010-0000-0000-000011000000}" name="TA OTHER" dataDxfId="149" dataCellStyle="Comma"/>
    <tableColumn id="18" xr3:uid="{00000000-0010-0000-0000-000012000000}" name="CRP &lt;5" dataDxfId="148" dataCellStyle="Comma"/>
    <tableColumn id="19" xr3:uid="{00000000-0010-0000-0000-000013000000}" name="CRP 5-50" dataDxfId="147" dataCellStyle="Comma"/>
    <tableColumn id="20" xr3:uid="{00000000-0010-0000-0000-000014000000}" name="CRP 50-200" dataDxfId="146" dataCellStyle="Comma"/>
    <tableColumn id="21" xr3:uid="{00000000-0010-0000-0000-000015000000}" name="CRP &gt;200" dataDxfId="145" dataCellStyle="Comma"/>
  </tableColumns>
  <tableStyleInfo name="Table Style 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Table_Query_from_MS_Access_Database4" displayName="Table_Query_from_MS_Access_Database4" ref="A16:AJ22" tableType="queryTable" totalsRowShown="0" headerRowDxfId="144" dataDxfId="143">
  <autoFilter ref="A16:AJ22" xr:uid="{00000000-0009-0000-0100-000003000000}"/>
  <sortState xmlns:xlrd2="http://schemas.microsoft.com/office/spreadsheetml/2017/richdata2" ref="A17:AJ22">
    <sortCondition ref="U15:U44"/>
  </sortState>
  <tableColumns count="36">
    <tableColumn id="1" xr3:uid="{00000000-0010-0000-0100-000001000000}" uniqueName="1" name="ADOT#" queryTableFieldId="1" dataDxfId="142"/>
    <tableColumn id="2" xr3:uid="{00000000-0010-0000-0100-000002000000}" uniqueName="2" name="TIP#" queryTableFieldId="2" dataDxfId="141"/>
    <tableColumn id="3" xr3:uid="{00000000-0010-0000-0100-000003000000}" uniqueName="3" name="Sponsor" queryTableFieldId="3" dataDxfId="140"/>
    <tableColumn id="4" xr3:uid="{00000000-0010-0000-0100-000004000000}" uniqueName="4" name="Action/15" queryTableFieldId="4" dataDxfId="139"/>
    <tableColumn id="5" xr3:uid="{00000000-0010-0000-0100-000005000000}" uniqueName="5" name="Location" queryTableFieldId="5" dataDxfId="138"/>
    <tableColumn id="6" xr3:uid="{00000000-0010-0000-0100-000006000000}" uniqueName="6" name="RTE" queryTableFieldId="6" dataDxfId="137"/>
    <tableColumn id="7" xr3:uid="{00000000-0010-0000-0100-000007000000}" uniqueName="7" name="SEC" queryTableFieldId="7" dataDxfId="136"/>
    <tableColumn id="8" xr3:uid="{00000000-0010-0000-0100-000008000000}" uniqueName="8" name="SEQ" queryTableFieldId="8" dataDxfId="135"/>
    <tableColumn id="9" xr3:uid="{00000000-0010-0000-0100-000009000000}" uniqueName="9" name="PB Expected" queryTableFieldId="9" dataDxfId="134"/>
    <tableColumn id="10" xr3:uid="{00000000-0010-0000-0100-00000A000000}" uniqueName="10" name="PB Received" queryTableFieldId="10" dataDxfId="133"/>
    <tableColumn id="11" xr3:uid="{00000000-0010-0000-0100-00000B000000}" uniqueName="11" name="PF Transmitted" queryTableFieldId="11" dataDxfId="132"/>
    <tableColumn id="12" xr3:uid="{00000000-0010-0000-0100-00000C000000}" uniqueName="12" name="Finance Authorization" queryTableFieldId="12" dataDxfId="131"/>
    <tableColumn id="13" xr3:uid="{00000000-0010-0000-0100-00000D000000}" uniqueName="13" name="HURF EX" queryTableFieldId="13" dataDxfId="130"/>
    <tableColumn id="14" xr3:uid="{00000000-0010-0000-0100-00000E000000}" uniqueName="14" name="HSIP" queryTableFieldId="14" dataDxfId="129"/>
    <tableColumn id="15" xr3:uid="{00000000-0010-0000-0100-00000F000000}" uniqueName="15" name="PL" queryTableFieldId="15" dataDxfId="128"/>
    <tableColumn id="16" xr3:uid="{00000000-0010-0000-0100-000010000000}" uniqueName="16" name="PL-SATO" queryTableFieldId="16" dataDxfId="127"/>
    <tableColumn id="17" xr3:uid="{00000000-0010-0000-0100-000011000000}" uniqueName="17" name="SPR" queryTableFieldId="17" dataDxfId="126"/>
    <tableColumn id="18" xr3:uid="{00000000-0010-0000-0100-000012000000}" uniqueName="18" name="STP &lt;5" queryTableFieldId="18" dataDxfId="125"/>
    <tableColumn id="19" xr3:uid="{00000000-0010-0000-0100-000013000000}" uniqueName="19" name="STP 5-200" queryTableFieldId="19" dataDxfId="124"/>
    <tableColumn id="20" xr3:uid="{00000000-0010-0000-0100-000014000000}" uniqueName="20" name="STP 5-50" queryTableFieldId="20" dataDxfId="123"/>
    <tableColumn id="21" xr3:uid="{00000000-0010-0000-0100-000015000000}" uniqueName="21" name="STP 50-200" queryTableFieldId="21" dataDxfId="122"/>
    <tableColumn id="22" xr3:uid="{00000000-0010-0000-0100-000016000000}" uniqueName="22" name="STP OVER 200K" queryTableFieldId="22" dataDxfId="121"/>
    <tableColumn id="23" xr3:uid="{00000000-0010-0000-0100-000017000000}" uniqueName="23" name="STP OTHER" queryTableFieldId="23" dataDxfId="120"/>
    <tableColumn id="24" xr3:uid="{00000000-0010-0000-0100-000018000000}" uniqueName="24" name="HIP &gt;200" queryTableFieldId="24" dataDxfId="119"/>
    <tableColumn id="25" xr3:uid="{00000000-0010-0000-0100-000019000000}" uniqueName="25" name="TAP &lt;5" queryTableFieldId="25" dataDxfId="118"/>
    <tableColumn id="26" xr3:uid="{00000000-0010-0000-0100-00001A000000}" uniqueName="26" name="TAP 5-2" queryTableFieldId="26" dataDxfId="117"/>
    <tableColumn id="27" xr3:uid="{00000000-0010-0000-0100-00001B000000}" uniqueName="27" name="TAP 5-50" queryTableFieldId="27" dataDxfId="116" dataCellStyle="Comma"/>
    <tableColumn id="28" xr3:uid="{00000000-0010-0000-0100-00001C000000}" uniqueName="28" name="TAP 50-200" queryTableFieldId="28" dataDxfId="115" dataCellStyle="Comma"/>
    <tableColumn id="29" xr3:uid="{00000000-0010-0000-0100-00001D000000}" uniqueName="29" name="TAP &gt;200" queryTableFieldId="29" dataDxfId="114"/>
    <tableColumn id="30" xr3:uid="{00000000-0010-0000-0100-00001E000000}" uniqueName="30" name="TAP Other" queryTableFieldId="30" dataDxfId="113"/>
    <tableColumn id="31" xr3:uid="{00000000-0010-0000-0100-00001F000000}" uniqueName="31" name="CRP &lt;5" queryTableFieldId="31" dataDxfId="112"/>
    <tableColumn id="32" xr3:uid="{00000000-0010-0000-0100-000020000000}" uniqueName="32" name="CRP 5-50" queryTableFieldId="32" dataDxfId="111"/>
    <tableColumn id="33" xr3:uid="{00000000-0010-0000-0100-000021000000}" uniqueName="33" name="CRP 50-200" queryTableFieldId="33" dataDxfId="110"/>
    <tableColumn id="34" xr3:uid="{00000000-0010-0000-0100-000022000000}" uniqueName="34" name="CRP &gt;200" queryTableFieldId="34" dataDxfId="109"/>
    <tableColumn id="37" xr3:uid="{00000000-0010-0000-0100-000025000000}" uniqueName="37" name="TOTAL OF AMOUNT" queryTableFieldId="37" dataDxfId="108">
      <calculatedColumnFormula>SUM(Table_Query_from_MS_Access_Database4[[#This Row],[HURF EX]:[CRP &gt;200]])</calculatedColumnFormula>
    </tableColumn>
    <tableColumn id="38" xr3:uid="{00000000-0010-0000-0100-000026000000}" uniqueName="38" name="DECLINING BALANCE OA" queryTableFieldId="38" dataDxfId="107">
      <calculatedColumnFormula>IF(ISTEXT(INDIRECT(ADDRESS(ROW()-1,COLUMN()))), INDIRECT(ADDRESS(13,COLUMN())),INDIRECT(ADDRESS(ROW()-1,COLUMN())))-Table_Query_from_MS_Access_Database4[[#This Row],[TOTAL OF AMOUNT]]</calculatedColumnFormula>
    </tableColumn>
  </tableColumns>
  <tableStyleInfo name="Table Style 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_Query_from_MS_Access_Database_1" displayName="Table_Query_from_MS_Access_Database_1" ref="A33:AJ42" tableType="queryTable" totalsRowShown="0" headerRowDxfId="106" dataDxfId="105">
  <autoFilter ref="A33:AJ42" xr:uid="{00000000-0009-0000-0100-000007000000}"/>
  <sortState xmlns:xlrd2="http://schemas.microsoft.com/office/spreadsheetml/2017/richdata2" ref="A34:AJ42">
    <sortCondition descending="1" ref="AI33:AI45"/>
  </sortState>
  <tableColumns count="36">
    <tableColumn id="35" xr3:uid="{00000000-0010-0000-0200-000023000000}" uniqueName="35" name="ADOT#" queryTableFieldId="1" dataDxfId="104"/>
    <tableColumn id="36" xr3:uid="{00000000-0010-0000-0200-000024000000}" uniqueName="36" name="TIP#" queryTableFieldId="2" dataDxfId="103"/>
    <tableColumn id="37" xr3:uid="{00000000-0010-0000-0200-000025000000}" uniqueName="37" name="Sponsor" queryTableFieldId="3" dataDxfId="102"/>
    <tableColumn id="38" xr3:uid="{00000000-0010-0000-0200-000026000000}" uniqueName="38" name="Action/15" queryTableFieldId="4" dataDxfId="101"/>
    <tableColumn id="39" xr3:uid="{00000000-0010-0000-0200-000027000000}" uniqueName="39" name="Location" queryTableFieldId="5" dataDxfId="100"/>
    <tableColumn id="40" xr3:uid="{00000000-0010-0000-0200-000028000000}" uniqueName="40" name="RTE" queryTableFieldId="6" dataDxfId="99"/>
    <tableColumn id="41" xr3:uid="{00000000-0010-0000-0200-000029000000}" uniqueName="41" name="SEC" queryTableFieldId="7" dataDxfId="98"/>
    <tableColumn id="42" xr3:uid="{00000000-0010-0000-0200-00002A000000}" uniqueName="42" name="SEQ" queryTableFieldId="8" dataDxfId="97"/>
    <tableColumn id="43" xr3:uid="{00000000-0010-0000-0200-00002B000000}" uniqueName="43" name="PB Expected" queryTableFieldId="9" dataDxfId="96"/>
    <tableColumn id="44" xr3:uid="{00000000-0010-0000-0200-00002C000000}" uniqueName="44" name="PB Received" queryTableFieldId="10" dataDxfId="95"/>
    <tableColumn id="45" xr3:uid="{00000000-0010-0000-0200-00002D000000}" uniqueName="45" name="PF Transmitted" queryTableFieldId="11" dataDxfId="94"/>
    <tableColumn id="46" xr3:uid="{00000000-0010-0000-0200-00002E000000}" uniqueName="46" name="Finance Authorization" queryTableFieldId="12" dataDxfId="93"/>
    <tableColumn id="47" xr3:uid="{00000000-0010-0000-0200-00002F000000}" uniqueName="47" name="HURF EX" queryTableFieldId="13" dataDxfId="92"/>
    <tableColumn id="48" xr3:uid="{00000000-0010-0000-0200-000030000000}" uniqueName="48" name="HSIP" queryTableFieldId="14" dataDxfId="91"/>
    <tableColumn id="49" xr3:uid="{00000000-0010-0000-0200-000031000000}" uniqueName="49" name="PL" queryTableFieldId="15" dataDxfId="90"/>
    <tableColumn id="50" xr3:uid="{00000000-0010-0000-0200-000032000000}" uniqueName="50" name="PL-SATO" queryTableFieldId="16" dataDxfId="89"/>
    <tableColumn id="51" xr3:uid="{00000000-0010-0000-0200-000033000000}" uniqueName="51" name="SPR" queryTableFieldId="17" dataDxfId="88"/>
    <tableColumn id="52" xr3:uid="{00000000-0010-0000-0200-000034000000}" uniqueName="52" name="STP &lt;5" queryTableFieldId="18" dataDxfId="87"/>
    <tableColumn id="53" xr3:uid="{00000000-0010-0000-0200-000035000000}" uniqueName="53" name="STP 5-200" queryTableFieldId="19" dataDxfId="86"/>
    <tableColumn id="54" xr3:uid="{00000000-0010-0000-0200-000036000000}" uniqueName="54" name="STP 5-50" queryTableFieldId="20" dataDxfId="85"/>
    <tableColumn id="55" xr3:uid="{00000000-0010-0000-0200-000037000000}" uniqueName="55" name="STP 50-200" queryTableFieldId="21" dataDxfId="84"/>
    <tableColumn id="56" xr3:uid="{00000000-0010-0000-0200-000038000000}" uniqueName="56" name="STP OVER 200K" queryTableFieldId="22" dataDxfId="83"/>
    <tableColumn id="57" xr3:uid="{00000000-0010-0000-0200-000039000000}" uniqueName="57" name="STP OTHER" queryTableFieldId="23" dataDxfId="82"/>
    <tableColumn id="58" xr3:uid="{00000000-0010-0000-0200-00003A000000}" uniqueName="58" name="HIP &gt;200" queryTableFieldId="24" dataDxfId="81"/>
    <tableColumn id="59" xr3:uid="{00000000-0010-0000-0200-00003B000000}" uniqueName="59" name="TAP &lt;5" queryTableFieldId="25" dataDxfId="80"/>
    <tableColumn id="60" xr3:uid="{00000000-0010-0000-0200-00003C000000}" uniqueName="60" name="TAP 5-2" queryTableFieldId="26" dataDxfId="79"/>
    <tableColumn id="61" xr3:uid="{00000000-0010-0000-0200-00003D000000}" uniqueName="61" name="TAP 5-50" queryTableFieldId="27" dataDxfId="78" dataCellStyle="Comma"/>
    <tableColumn id="62" xr3:uid="{00000000-0010-0000-0200-00003E000000}" uniqueName="62" name="TAP 50-200" queryTableFieldId="28" dataDxfId="77"/>
    <tableColumn id="63" xr3:uid="{00000000-0010-0000-0200-00003F000000}" uniqueName="63" name="TAP &gt;200" queryTableFieldId="29" dataDxfId="76"/>
    <tableColumn id="64" xr3:uid="{00000000-0010-0000-0200-000040000000}" uniqueName="64" name="TAP Other" queryTableFieldId="30" dataDxfId="75"/>
    <tableColumn id="65" xr3:uid="{00000000-0010-0000-0200-000041000000}" uniqueName="65" name="CRP &lt;5" queryTableFieldId="31" dataDxfId="74"/>
    <tableColumn id="66" xr3:uid="{00000000-0010-0000-0200-000042000000}" uniqueName="66" name="CRP 5-50" queryTableFieldId="32" dataDxfId="73"/>
    <tableColumn id="67" xr3:uid="{00000000-0010-0000-0200-000043000000}" uniqueName="67" name="CRP 50-200" queryTableFieldId="33" dataDxfId="72"/>
    <tableColumn id="68" xr3:uid="{00000000-0010-0000-0200-000044000000}" uniqueName="68" name="CRP &gt;200" queryTableFieldId="34" dataDxfId="71"/>
    <tableColumn id="69" xr3:uid="{00000000-0010-0000-0200-000045000000}" uniqueName="69" name="TOTAL OF AMOUNT" queryTableFieldId="35" dataDxfId="70">
      <calculatedColumnFormula>SUM(Table_Query_from_MS_Access_Database_1[[#This Row],[HURF EX]:[CRP &gt;200]])</calculatedColumnFormula>
    </tableColumn>
    <tableColumn id="70" xr3:uid="{00000000-0010-0000-0200-000046000000}" uniqueName="70" name="EXPECTED DECLINING BALANCE OA" queryTableFieldId="36" dataDxfId="69">
      <calculatedColumnFormula>IF(ISTEXT(INDIRECT(ADDRESS(ROW()-1,COLUMN()))),$AJ$13-(SUM(Table_Query_from_MS_Access_Database4[TOTAL OF AMOUNT])),INDIRECT(ADDRESS(ROW()-1,COLUMN())))-Table_Query_from_MS_Access_Database_1[[#This Row],[TOTAL OF AMOUNT]]</calculatedColumnFormula>
    </tableColumn>
  </tableColumns>
  <tableStyleInfo name="Table Style 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_Query_from_MS_Access_Database" displayName="Table_Query_from_MS_Access_Database" ref="A11:AE59" tableType="queryTable" totalsRowShown="0" headerRowDxfId="68" headerRowBorderDxfId="67" tableBorderDxfId="66" totalsRowBorderDxfId="65" headerRowCellStyle="Comma" dataCellStyle="Comma">
  <autoFilter ref="A11:AE59" xr:uid="{00000000-0009-0000-0100-000004000000}">
    <filterColumn colId="0">
      <filters>
        <filter val="2026"/>
        <filter val="2027"/>
      </filters>
    </filterColumn>
  </autoFilter>
  <tableColumns count="31">
    <tableColumn id="62" xr3:uid="{00000000-0010-0000-0300-00003E000000}" uniqueName="62" name="Transaction Year" queryTableFieldId="1" dataDxfId="64" dataCellStyle="Comma"/>
    <tableColumn id="63" xr3:uid="{00000000-0010-0000-0300-00003F000000}" uniqueName="63" name="Transaction Type" queryTableFieldId="2" dataDxfId="63" dataCellStyle="Comma"/>
    <tableColumn id="64" xr3:uid="{00000000-0010-0000-0300-000040000000}" uniqueName="64" name="Number" queryTableFieldId="3" dataDxfId="62" dataCellStyle="Comma"/>
    <tableColumn id="65" xr3:uid="{00000000-0010-0000-0300-000041000000}" uniqueName="65" name="From" queryTableFieldId="4" dataDxfId="61" dataCellStyle="Comma"/>
    <tableColumn id="66" xr3:uid="{00000000-0010-0000-0300-000042000000}" uniqueName="66" name="To" queryTableFieldId="5" dataDxfId="60" dataCellStyle="Comma"/>
    <tableColumn id="67" xr3:uid="{00000000-0010-0000-0300-000043000000}" uniqueName="67" name="Repayment Year" queryTableFieldId="6" dataDxfId="59" dataCellStyle="Comma"/>
    <tableColumn id="68" xr3:uid="{00000000-0010-0000-0300-000044000000}" uniqueName="68" name="Project8" queryTableFieldId="7" dataDxfId="58" dataCellStyle="Comma"/>
    <tableColumn id="69" xr3:uid="{00000000-0010-0000-0300-000045000000}" uniqueName="69" name="Notes" queryTableFieldId="8" dataDxfId="57" dataCellStyle="Comma"/>
    <tableColumn id="70" xr3:uid="{00000000-0010-0000-0300-000046000000}" uniqueName="70" name="Total" queryTableFieldId="9" dataDxfId="56" dataCellStyle="Comma"/>
    <tableColumn id="71" xr3:uid="{00000000-0010-0000-0300-000047000000}" uniqueName="71" name="HURF Exchange" queryTableFieldId="10" dataDxfId="55" dataCellStyle="Comma"/>
    <tableColumn id="72" xr3:uid="{00000000-0010-0000-0300-000048000000}" uniqueName="72" name="HSIP" queryTableFieldId="11" dataDxfId="54" dataCellStyle="Comma"/>
    <tableColumn id="73" xr3:uid="{00000000-0010-0000-0300-000049000000}" uniqueName="73" name="PLAN" queryTableFieldId="12" dataDxfId="53" dataCellStyle="Comma"/>
    <tableColumn id="74" xr3:uid="{00000000-0010-0000-0300-00004A000000}" uniqueName="74" name="PLAN SATO" queryTableFieldId="13" dataDxfId="52" dataCellStyle="Comma"/>
    <tableColumn id="75" xr3:uid="{00000000-0010-0000-0300-00004B000000}" uniqueName="75" name="SPR" queryTableFieldId="14" dataDxfId="51" dataCellStyle="Comma"/>
    <tableColumn id="76" xr3:uid="{00000000-0010-0000-0300-00004C000000}" uniqueName="76" name="STP &lt;5" queryTableFieldId="15" dataDxfId="50" dataCellStyle="Comma"/>
    <tableColumn id="77" xr3:uid="{00000000-0010-0000-0300-00004D000000}" uniqueName="77" name="STP 5-2" queryTableFieldId="16" dataDxfId="49" dataCellStyle="Comma"/>
    <tableColumn id="78" xr3:uid="{00000000-0010-0000-0300-00004E000000}" uniqueName="78" name="STP 5-50" queryTableFieldId="17" dataDxfId="48" dataCellStyle="Comma"/>
    <tableColumn id="79" xr3:uid="{00000000-0010-0000-0300-00004F000000}" uniqueName="79" name="STP 50-200" queryTableFieldId="18" dataDxfId="47" dataCellStyle="Comma"/>
    <tableColumn id="80" xr3:uid="{00000000-0010-0000-0300-000050000000}" uniqueName="80" name="STP &gt;200" queryTableFieldId="19" dataDxfId="46" dataCellStyle="Comma"/>
    <tableColumn id="81" xr3:uid="{00000000-0010-0000-0300-000051000000}" uniqueName="81" name="STP Flex" queryTableFieldId="20" dataDxfId="45" dataCellStyle="Comma"/>
    <tableColumn id="82" xr3:uid="{00000000-0010-0000-0300-000052000000}" uniqueName="82" name="HIP &gt;200" queryTableFieldId="21" dataDxfId="44" dataCellStyle="Comma"/>
    <tableColumn id="83" xr3:uid="{00000000-0010-0000-0300-000053000000}" uniqueName="83" name="TAP &lt;5" queryTableFieldId="22" dataDxfId="43" dataCellStyle="Comma"/>
    <tableColumn id="84" xr3:uid="{00000000-0010-0000-0300-000054000000}" uniqueName="84" name="TAP 5-2" queryTableFieldId="23" dataDxfId="42" dataCellStyle="Comma"/>
    <tableColumn id="85" xr3:uid="{00000000-0010-0000-0300-000055000000}" uniqueName="85" name="TAP 5-50" queryTableFieldId="24" dataDxfId="41" dataCellStyle="Comma"/>
    <tableColumn id="86" xr3:uid="{00000000-0010-0000-0300-000056000000}" uniqueName="86" name="TAP 50-200" queryTableFieldId="25" dataDxfId="40" dataCellStyle="Comma"/>
    <tableColumn id="87" xr3:uid="{00000000-0010-0000-0300-000057000000}" uniqueName="87" name="TAP &gt;200" queryTableFieldId="26" dataDxfId="39" dataCellStyle="Comma"/>
    <tableColumn id="88" xr3:uid="{00000000-0010-0000-0300-000058000000}" uniqueName="88" name="TAP Flex" queryTableFieldId="27" dataDxfId="38" dataCellStyle="Comma"/>
    <tableColumn id="89" xr3:uid="{00000000-0010-0000-0300-000059000000}" uniqueName="89" name="CRP &lt;5" queryTableFieldId="28" dataDxfId="37" dataCellStyle="Comma"/>
    <tableColumn id="90" xr3:uid="{00000000-0010-0000-0300-00005A000000}" uniqueName="90" name="CRP 5-50" queryTableFieldId="29" dataDxfId="36" dataCellStyle="Comma"/>
    <tableColumn id="91" xr3:uid="{00000000-0010-0000-0300-00005B000000}" uniqueName="91" name="CRP 50-200" queryTableFieldId="30" dataDxfId="35" dataCellStyle="Comma"/>
    <tableColumn id="92" xr3:uid="{00000000-0010-0000-0300-00005C000000}" uniqueName="92" name="CRP &gt;200" queryTableFieldId="31" dataDxfId="34" dataCellStyle="Comma"/>
  </tableColumns>
  <tableStyleInfo name="Table Style 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_Query_from_MS_Access_Database_16" displayName="Table_Query_from_MS_Access_Database_16" ref="A270:AE316" tableType="queryTable" totalsRowShown="0" headerRowDxfId="33" dataDxfId="32" tableBorderDxfId="31" headerRowCellStyle="Comma" dataCellStyle="Comma">
  <autoFilter ref="A270:AE316" xr:uid="{00000000-0009-0000-0100-000005000000}">
    <filterColumn colId="0">
      <filters>
        <filter val="2023"/>
        <filter val="2024"/>
        <filter val="2025"/>
        <filter val="2026"/>
      </filters>
    </filterColumn>
  </autoFilter>
  <tableColumns count="31">
    <tableColumn id="63" xr3:uid="{00000000-0010-0000-0400-00003F000000}" uniqueName="63" name="Transaction Year" queryTableFieldId="1" dataDxfId="30" dataCellStyle="Comma"/>
    <tableColumn id="64" xr3:uid="{00000000-0010-0000-0400-000040000000}" uniqueName="64" name="Transaction Type" queryTableFieldId="2" dataDxfId="29" dataCellStyle="Comma"/>
    <tableColumn id="65" xr3:uid="{00000000-0010-0000-0400-000041000000}" uniqueName="65" name="Number" queryTableFieldId="3" dataDxfId="28" dataCellStyle="Comma"/>
    <tableColumn id="66" xr3:uid="{00000000-0010-0000-0400-000042000000}" uniqueName="66" name="From" queryTableFieldId="4" dataDxfId="27" dataCellStyle="Comma"/>
    <tableColumn id="67" xr3:uid="{00000000-0010-0000-0400-000043000000}" uniqueName="67" name="To" queryTableFieldId="5" dataDxfId="26" dataCellStyle="Comma"/>
    <tableColumn id="68" xr3:uid="{00000000-0010-0000-0400-000044000000}" uniqueName="68" name="Repayment Year" queryTableFieldId="6" dataDxfId="25" dataCellStyle="Comma"/>
    <tableColumn id="69" xr3:uid="{00000000-0010-0000-0400-000045000000}" uniqueName="69" name="Project8" queryTableFieldId="7" dataDxfId="24" dataCellStyle="Comma"/>
    <tableColumn id="70" xr3:uid="{00000000-0010-0000-0400-000046000000}" uniqueName="70" name="Notes" queryTableFieldId="8" dataDxfId="23" dataCellStyle="Comma"/>
    <tableColumn id="71" xr3:uid="{00000000-0010-0000-0400-000047000000}" uniqueName="71" name="Total" queryTableFieldId="9" dataDxfId="22" dataCellStyle="Comma"/>
    <tableColumn id="72" xr3:uid="{00000000-0010-0000-0400-000048000000}" uniqueName="72" name="HURF Exchange" queryTableFieldId="10" dataDxfId="21" dataCellStyle="Comma"/>
    <tableColumn id="73" xr3:uid="{00000000-0010-0000-0400-000049000000}" uniqueName="73" name="HSIP" queryTableFieldId="11" dataDxfId="20" dataCellStyle="Comma"/>
    <tableColumn id="74" xr3:uid="{00000000-0010-0000-0400-00004A000000}" uniqueName="74" name="PLAN" queryTableFieldId="12" dataDxfId="19" dataCellStyle="Comma"/>
    <tableColumn id="75" xr3:uid="{00000000-0010-0000-0400-00004B000000}" uniqueName="75" name="PLAN SATO" queryTableFieldId="13" dataDxfId="18" dataCellStyle="Comma"/>
    <tableColumn id="76" xr3:uid="{00000000-0010-0000-0400-00004C000000}" uniqueName="76" name="SPR" queryTableFieldId="14" dataDxfId="17" dataCellStyle="Comma"/>
    <tableColumn id="77" xr3:uid="{00000000-0010-0000-0400-00004D000000}" uniqueName="77" name="STP &lt;5" queryTableFieldId="15" dataDxfId="16" dataCellStyle="Comma"/>
    <tableColumn id="78" xr3:uid="{00000000-0010-0000-0400-00004E000000}" uniqueName="78" name="STP 5-2" queryTableFieldId="16" dataDxfId="15" dataCellStyle="Comma"/>
    <tableColumn id="79" xr3:uid="{00000000-0010-0000-0400-00004F000000}" uniqueName="79" name="STP 5-50" queryTableFieldId="17" dataDxfId="14" dataCellStyle="Comma"/>
    <tableColumn id="80" xr3:uid="{00000000-0010-0000-0400-000050000000}" uniqueName="80" name="STP 50-200" queryTableFieldId="18" dataDxfId="13" dataCellStyle="Comma"/>
    <tableColumn id="81" xr3:uid="{00000000-0010-0000-0400-000051000000}" uniqueName="81" name="STP &gt;200" queryTableFieldId="19" dataDxfId="12" dataCellStyle="Comma"/>
    <tableColumn id="82" xr3:uid="{00000000-0010-0000-0400-000052000000}" uniqueName="82" name="STP Flex" queryTableFieldId="20" dataDxfId="11" dataCellStyle="Comma"/>
    <tableColumn id="83" xr3:uid="{00000000-0010-0000-0400-000053000000}" uniqueName="83" name="HIP &gt;200" queryTableFieldId="21" dataDxfId="10" dataCellStyle="Comma"/>
    <tableColumn id="84" xr3:uid="{00000000-0010-0000-0400-000054000000}" uniqueName="84" name="TAP &lt;5" queryTableFieldId="22" dataDxfId="9" dataCellStyle="Comma"/>
    <tableColumn id="85" xr3:uid="{00000000-0010-0000-0400-000055000000}" uniqueName="85" name="TAP 5-2" queryTableFieldId="23" dataDxfId="8" dataCellStyle="Comma"/>
    <tableColumn id="86" xr3:uid="{00000000-0010-0000-0400-000056000000}" uniqueName="86" name="TAP 5-50" queryTableFieldId="24" dataDxfId="7" dataCellStyle="Comma"/>
    <tableColumn id="87" xr3:uid="{00000000-0010-0000-0400-000057000000}" uniqueName="87" name="TAP 50-200" queryTableFieldId="25" dataDxfId="6" dataCellStyle="Comma"/>
    <tableColumn id="88" xr3:uid="{00000000-0010-0000-0400-000058000000}" uniqueName="88" name="TAP &gt;200" queryTableFieldId="26" dataDxfId="5" dataCellStyle="Comma"/>
    <tableColumn id="89" xr3:uid="{00000000-0010-0000-0400-000059000000}" uniqueName="89" name="TAP Flex" queryTableFieldId="27" dataDxfId="4" dataCellStyle="Comma"/>
    <tableColumn id="90" xr3:uid="{00000000-0010-0000-0400-00005A000000}" uniqueName="90" name="CRP &lt;5" queryTableFieldId="28" dataDxfId="3" dataCellStyle="Comma"/>
    <tableColumn id="91" xr3:uid="{00000000-0010-0000-0400-00005B000000}" uniqueName="91" name="CRP 5-50" queryTableFieldId="29" dataDxfId="2" dataCellStyle="Comma"/>
    <tableColumn id="92" xr3:uid="{00000000-0010-0000-0400-00005C000000}" uniqueName="92" name="CRP 50-200" queryTableFieldId="30" dataDxfId="1" dataCellStyle="Comma"/>
    <tableColumn id="93" xr3:uid="{00000000-0010-0000-0400-00005D000000}" uniqueName="93" name="CRP &gt;200" queryTableFieldId="31" dataDxfId="0" dataCellStyle="Comma"/>
  </tableColumns>
  <tableStyleInfo name="Table Style 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table" Target="../tables/table3.xml"/><Relationship Id="rId4" Type="http://schemas.openxmlformats.org/officeDocument/2006/relationships/table" Target="../tables/table2.xml"/></Relationships>
</file>

<file path=xl/worksheets/_rels/sheet2.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table" Target="../tables/table4.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M80"/>
  <sheetViews>
    <sheetView tabSelected="1" zoomScale="150" zoomScaleNormal="150" zoomScaleSheetLayoutView="90" workbookViewId="0">
      <selection sqref="A1:F1"/>
    </sheetView>
  </sheetViews>
  <sheetFormatPr defaultColWidth="32" defaultRowHeight="14.25" outlineLevelCol="1"/>
  <cols>
    <col min="1" max="1" width="12.7109375" style="24" customWidth="1"/>
    <col min="2" max="2" width="64.28515625" style="24" customWidth="1"/>
    <col min="3" max="3" width="15.7109375" style="24" customWidth="1"/>
    <col min="4" max="4" width="13.28515625" style="24" bestFit="1" customWidth="1"/>
    <col min="5" max="5" width="42.85546875" style="24" customWidth="1"/>
    <col min="6" max="6" width="5.7109375" style="24" customWidth="1" outlineLevel="1"/>
    <col min="7" max="8" width="5" style="24" customWidth="1" outlineLevel="1"/>
    <col min="9" max="9" width="11.5703125" style="24" customWidth="1" outlineLevel="1"/>
    <col min="10" max="10" width="10.5703125" style="49" customWidth="1" outlineLevel="1"/>
    <col min="11" max="11" width="13.5703125" style="49" customWidth="1" outlineLevel="1"/>
    <col min="12" max="12" width="24.28515625" style="49" customWidth="1" outlineLevel="1"/>
    <col min="13" max="13" width="15.42578125" style="49" customWidth="1"/>
    <col min="14" max="19" width="15.42578125" style="26" customWidth="1"/>
    <col min="20" max="20" width="16.7109375" style="26" customWidth="1"/>
    <col min="21" max="21" width="18.140625" style="26" customWidth="1"/>
    <col min="22" max="22" width="19.85546875" style="26" customWidth="1"/>
    <col min="23" max="23" width="14.7109375" style="26" customWidth="1"/>
    <col min="24" max="28" width="14.7109375" style="24" customWidth="1"/>
    <col min="29" max="29" width="22.140625" style="24" customWidth="1"/>
    <col min="30" max="33" width="14.7109375" style="24" customWidth="1"/>
    <col min="34" max="34" width="15.140625" style="24" customWidth="1"/>
    <col min="35" max="35" width="19.140625" style="24" customWidth="1"/>
    <col min="36" max="36" width="21.7109375" style="24" customWidth="1"/>
    <col min="37" max="16384" width="32" style="24"/>
  </cols>
  <sheetData>
    <row r="1" spans="1:36" ht="23.45" customHeight="1" thickBot="1">
      <c r="A1" s="212" t="s">
        <v>92</v>
      </c>
      <c r="B1" s="212"/>
      <c r="C1" s="212"/>
      <c r="D1" s="212"/>
      <c r="E1" s="212"/>
      <c r="F1" s="212"/>
      <c r="K1" s="25"/>
      <c r="M1" s="220" t="s">
        <v>74</v>
      </c>
      <c r="N1" s="220"/>
      <c r="O1" s="220"/>
      <c r="P1" s="220"/>
      <c r="Q1" s="220"/>
      <c r="R1" s="220"/>
      <c r="S1" s="220"/>
      <c r="T1" s="220"/>
      <c r="U1" s="220"/>
      <c r="V1" s="220"/>
      <c r="W1" s="220"/>
      <c r="X1" s="220"/>
      <c r="Y1" s="220"/>
      <c r="Z1" s="220"/>
      <c r="AA1" s="220"/>
      <c r="AB1" s="220"/>
      <c r="AC1" s="220"/>
      <c r="AD1" s="220"/>
      <c r="AE1" s="220"/>
      <c r="AF1" s="220"/>
      <c r="AG1" s="220"/>
      <c r="AH1" s="220"/>
      <c r="AI1" s="220"/>
    </row>
    <row r="2" spans="1:36" ht="16.149999999999999" customHeight="1" thickBot="1">
      <c r="M2" s="217" t="s">
        <v>12</v>
      </c>
      <c r="N2" s="218"/>
      <c r="O2" s="218"/>
      <c r="P2" s="218"/>
      <c r="Q2" s="218"/>
      <c r="R2" s="218"/>
      <c r="S2" s="218"/>
      <c r="T2" s="218"/>
      <c r="U2" s="218"/>
      <c r="V2" s="218"/>
      <c r="W2" s="218"/>
      <c r="X2" s="218"/>
      <c r="Y2" s="218"/>
      <c r="Z2" s="218"/>
      <c r="AA2" s="218"/>
      <c r="AB2" s="218"/>
      <c r="AC2" s="218"/>
      <c r="AD2" s="218"/>
      <c r="AE2" s="218"/>
      <c r="AF2" s="218"/>
      <c r="AG2" s="218"/>
      <c r="AH2" s="218"/>
      <c r="AI2" s="219"/>
    </row>
    <row r="3" spans="1:36" ht="42" customHeight="1">
      <c r="A3" s="221" t="s">
        <v>324</v>
      </c>
      <c r="B3" s="221"/>
      <c r="C3" s="221"/>
      <c r="D3" s="150"/>
      <c r="E3" s="27"/>
      <c r="F3" s="27"/>
      <c r="G3" s="27"/>
      <c r="L3" s="100" t="s">
        <v>11</v>
      </c>
      <c r="M3" s="130" t="s">
        <v>133</v>
      </c>
      <c r="N3" s="131" t="s">
        <v>58</v>
      </c>
      <c r="O3" s="131" t="s">
        <v>40</v>
      </c>
      <c r="P3" s="131" t="s">
        <v>175</v>
      </c>
      <c r="Q3" s="131" t="s">
        <v>53</v>
      </c>
      <c r="R3" s="131" t="s">
        <v>124</v>
      </c>
      <c r="S3" s="131" t="s">
        <v>125</v>
      </c>
      <c r="T3" s="131" t="s">
        <v>176</v>
      </c>
      <c r="U3" s="131" t="s">
        <v>177</v>
      </c>
      <c r="V3" s="131" t="s">
        <v>87</v>
      </c>
      <c r="W3" s="131" t="s">
        <v>6</v>
      </c>
      <c r="X3" s="131" t="s">
        <v>139</v>
      </c>
      <c r="Y3" s="131" t="s">
        <v>121</v>
      </c>
      <c r="Z3" s="131" t="s">
        <v>122</v>
      </c>
      <c r="AA3" s="131" t="s">
        <v>178</v>
      </c>
      <c r="AB3" s="131" t="s">
        <v>179</v>
      </c>
      <c r="AC3" s="131" t="s">
        <v>126</v>
      </c>
      <c r="AD3" s="131" t="s">
        <v>88</v>
      </c>
      <c r="AE3" s="131" t="s">
        <v>180</v>
      </c>
      <c r="AF3" s="131" t="s">
        <v>181</v>
      </c>
      <c r="AG3" s="131" t="s">
        <v>182</v>
      </c>
      <c r="AH3" s="131" t="s">
        <v>183</v>
      </c>
      <c r="AI3" s="131" t="s">
        <v>10</v>
      </c>
      <c r="AJ3" s="126" t="s">
        <v>15</v>
      </c>
    </row>
    <row r="4" spans="1:36" ht="27" customHeight="1">
      <c r="A4" s="190"/>
      <c r="D4" s="149"/>
      <c r="E4" s="150"/>
      <c r="F4" s="150"/>
      <c r="G4" s="150"/>
      <c r="L4" s="101" t="s">
        <v>141</v>
      </c>
      <c r="M4" s="102"/>
      <c r="N4" s="103"/>
      <c r="O4" s="103"/>
      <c r="P4" s="103"/>
      <c r="Q4" s="103"/>
      <c r="R4" s="103"/>
      <c r="S4" s="103"/>
      <c r="T4" s="103"/>
      <c r="U4" s="103"/>
      <c r="V4" s="103">
        <v>2264580.4799999986</v>
      </c>
      <c r="W4" s="103"/>
      <c r="X4" s="103"/>
      <c r="Y4" s="103">
        <v>0</v>
      </c>
      <c r="Z4" s="103">
        <v>0</v>
      </c>
      <c r="AA4" s="103">
        <v>0</v>
      </c>
      <c r="AB4" s="103"/>
      <c r="AC4" s="103">
        <f>6086997+270945-AC9</f>
        <v>3490220.02</v>
      </c>
      <c r="AD4" s="103"/>
      <c r="AE4" s="103">
        <v>0</v>
      </c>
      <c r="AF4" s="103">
        <v>0</v>
      </c>
      <c r="AG4" s="103">
        <v>0</v>
      </c>
      <c r="AH4" s="103">
        <v>1771219</v>
      </c>
      <c r="AI4" s="103">
        <f>SUM(M4:AH4)</f>
        <v>7526019.4999999981</v>
      </c>
      <c r="AJ4" s="128">
        <f>+X4</f>
        <v>0</v>
      </c>
    </row>
    <row r="5" spans="1:36" ht="15">
      <c r="A5" s="222" t="s">
        <v>268</v>
      </c>
      <c r="B5" s="222"/>
      <c r="C5" s="222"/>
      <c r="E5" s="150"/>
      <c r="F5" s="150"/>
      <c r="G5" s="150"/>
      <c r="L5" s="104" t="s">
        <v>247</v>
      </c>
      <c r="M5" s="105">
        <v>0</v>
      </c>
      <c r="N5" s="106">
        <v>0</v>
      </c>
      <c r="O5" s="106">
        <v>0</v>
      </c>
      <c r="P5" s="106">
        <v>0</v>
      </c>
      <c r="Q5" s="106">
        <v>0</v>
      </c>
      <c r="R5" s="106">
        <v>0</v>
      </c>
      <c r="S5" s="106">
        <v>0</v>
      </c>
      <c r="T5" s="106">
        <v>0</v>
      </c>
      <c r="U5" s="106">
        <v>0</v>
      </c>
      <c r="V5" s="106">
        <v>0</v>
      </c>
      <c r="W5" s="106">
        <v>0</v>
      </c>
      <c r="X5" s="106">
        <v>0</v>
      </c>
      <c r="Y5" s="106">
        <v>0</v>
      </c>
      <c r="Z5" s="106">
        <v>0</v>
      </c>
      <c r="AA5" s="106">
        <v>0</v>
      </c>
      <c r="AB5" s="106">
        <v>0</v>
      </c>
      <c r="AC5" s="106">
        <v>0</v>
      </c>
      <c r="AD5" s="106">
        <v>0</v>
      </c>
      <c r="AE5" s="106">
        <v>0</v>
      </c>
      <c r="AF5" s="106">
        <v>0</v>
      </c>
      <c r="AG5" s="106">
        <v>0</v>
      </c>
      <c r="AH5" s="106">
        <v>0</v>
      </c>
      <c r="AI5" s="106">
        <f>SUM(M5:AH5)</f>
        <v>0</v>
      </c>
      <c r="AJ5" s="127">
        <v>0</v>
      </c>
    </row>
    <row r="6" spans="1:36" ht="24">
      <c r="A6" s="151" t="s">
        <v>77</v>
      </c>
      <c r="B6" s="44">
        <v>46024</v>
      </c>
      <c r="J6" s="50"/>
      <c r="L6" s="101" t="s">
        <v>330</v>
      </c>
      <c r="M6" s="105">
        <v>0</v>
      </c>
      <c r="N6" s="106">
        <v>0</v>
      </c>
      <c r="O6" s="107">
        <f>+'FY26 Apportionments'!C4</f>
        <v>1316551</v>
      </c>
      <c r="P6" s="107">
        <f>+'FY26 Apportionments'!C5</f>
        <v>33758</v>
      </c>
      <c r="Q6" s="107">
        <f>+'FY26 Apportionments'!D3</f>
        <v>350000</v>
      </c>
      <c r="R6" s="107">
        <f>+'FY26 Apportionments'!D8</f>
        <v>2647077</v>
      </c>
      <c r="S6" s="107">
        <f>+'FY26 Apportionments'!C7</f>
        <v>0</v>
      </c>
      <c r="T6" s="107">
        <f>+'FY26 Apportionments'!D9</f>
        <v>2770526</v>
      </c>
      <c r="U6" s="107">
        <f>+'FY26 Apportionments'!D10</f>
        <v>0</v>
      </c>
      <c r="V6" s="107">
        <f>+'FY26 Apportionments'!C6</f>
        <v>15956592</v>
      </c>
      <c r="W6" s="103">
        <v>0</v>
      </c>
      <c r="X6" s="103">
        <v>0</v>
      </c>
      <c r="Y6" s="107">
        <f>+'FY26 Apportionments'!D15</f>
        <v>198257</v>
      </c>
      <c r="Z6" s="107">
        <f>+'FY26 Apportionments'!D12</f>
        <v>0</v>
      </c>
      <c r="AA6" s="107">
        <f>+'FY26 Apportionments'!D13</f>
        <v>207503</v>
      </c>
      <c r="AB6" s="107">
        <f>+'FY26 Apportionments'!D14</f>
        <v>0</v>
      </c>
      <c r="AC6" s="107">
        <f>+'FY26 Apportionments'!C11</f>
        <v>2114499</v>
      </c>
      <c r="AD6" s="103">
        <v>0</v>
      </c>
      <c r="AE6" s="107">
        <f>+'FY26 Apportionments'!D17</f>
        <v>182061</v>
      </c>
      <c r="AF6" s="107">
        <f>+'FY26 Apportionments'!D18</f>
        <v>190552</v>
      </c>
      <c r="AG6" s="107">
        <v>0</v>
      </c>
      <c r="AH6" s="107">
        <f>+'FY26 Apportionments'!C16</f>
        <v>1941766</v>
      </c>
      <c r="AI6" s="103">
        <f>SUM(M6:AH6)</f>
        <v>27909142</v>
      </c>
      <c r="AJ6" s="128">
        <f>ROUND(+'Federal Funds Transactions'!$AI6*0.949,0)</f>
        <v>26485776</v>
      </c>
    </row>
    <row r="7" spans="1:36">
      <c r="L7" s="108" t="s">
        <v>66</v>
      </c>
      <c r="M7" s="105">
        <f>SUMIFS(Table_Query_from_MS_Access_Database[[#All],[HURF Exchange]],Table_Query_from_MS_Access_Database[[#All],[Transaction Year]],"2025",Table_Query_from_MS_Access_Database[[#All],[Transaction Type]],"loan in")</f>
        <v>0</v>
      </c>
      <c r="N7" s="106">
        <f>SUMIFS(Table_Query_from_MS_Access_Database[[#All],[HSIP]],Table_Query_from_MS_Access_Database[[#All],[Transaction Year]],"2025",Table_Query_from_MS_Access_Database[[#All],[Transaction Type]],"loan in")</f>
        <v>0</v>
      </c>
      <c r="O7" s="106">
        <f>SUMIFS(Table_Query_from_MS_Access_Database[[#All],[PLAN]],Table_Query_from_MS_Access_Database[[#All],[Transaction Year]],"2025",Table_Query_from_MS_Access_Database[[#All],[Transaction Type]],"loan in")</f>
        <v>0</v>
      </c>
      <c r="P7" s="106">
        <f>SUMIFS(Table_Query_from_MS_Access_Database[[#All],[PLAN SATO]],Table_Query_from_MS_Access_Database[[#All],[Transaction Year]],"2025",Table_Query_from_MS_Access_Database[[#All],[Transaction Type]],"loan in")</f>
        <v>0</v>
      </c>
      <c r="Q7" s="106">
        <f>SUMIFS(Table_Query_from_MS_Access_Database[[#All],[SPR]],Table_Query_from_MS_Access_Database[[#All],[Transaction Year]],"2025",Table_Query_from_MS_Access_Database[[#All],[Transaction Type]],"loan in")</f>
        <v>0</v>
      </c>
      <c r="R7" s="106">
        <f>SUMIFS(Table_Query_from_MS_Access_Database[[#All],[STP &lt;5]],Table_Query_from_MS_Access_Database[[#All],[Transaction Year]],"2025",Table_Query_from_MS_Access_Database[[#All],[Transaction Type]],"loan in")</f>
        <v>0</v>
      </c>
      <c r="S7" s="106">
        <f>SUMIFS(Table_Query_from_MS_Access_Database[[#All],[STP 5-2]],Table_Query_from_MS_Access_Database[[#All],[Transaction Year]],"2025",Table_Query_from_MS_Access_Database[[#All],[Transaction Type]],"loan in")</f>
        <v>0</v>
      </c>
      <c r="T7" s="106">
        <f>SUMIFS(Table_Query_from_MS_Access_Database[[#All],[STP 5-50]],Table_Query_from_MS_Access_Database[[#All],[Transaction Year]],"2025",Table_Query_from_MS_Access_Database[[#All],[Transaction Type]],"loan in")</f>
        <v>0</v>
      </c>
      <c r="U7" s="106">
        <f>SUMIFS(Table_Query_from_MS_Access_Database[[#All],[STP 50-200]],Table_Query_from_MS_Access_Database[[#All],[Transaction Year]],"2025",Table_Query_from_MS_Access_Database[[#All],[Transaction Type]],"loan in")</f>
        <v>0</v>
      </c>
      <c r="V7" s="106">
        <f>SUMIFS(Table_Query_from_MS_Access_Database[[#All],[STP &gt;200]],Table_Query_from_MS_Access_Database[[#All],[Transaction Year]],"2025",Table_Query_from_MS_Access_Database[[#All],[Transaction Type]],"loan in")</f>
        <v>0</v>
      </c>
      <c r="W7" s="106">
        <f>SUMIFS(Table_Query_from_MS_Access_Database[[#All],[STP Flex]],Table_Query_from_MS_Access_Database[[#All],[Transaction Year]],"2025",Table_Query_from_MS_Access_Database[[#All],[Transaction Type]],"loan in")</f>
        <v>0</v>
      </c>
      <c r="X7" s="106">
        <f>SUMIFS(Table_Query_from_MS_Access_Database[[#All],[HIP &gt;200]],Table_Query_from_MS_Access_Database[[#All],[Transaction Year]],"2025",Table_Query_from_MS_Access_Database[[#All],[Transaction Type]],"loan in")</f>
        <v>0</v>
      </c>
      <c r="Y7" s="106">
        <f>SUMIFS(Table_Query_from_MS_Access_Database[[#All],[TAP &lt;5]],Table_Query_from_MS_Access_Database[[#All],[Transaction Year]],"2025",Table_Query_from_MS_Access_Database[[#All],[Transaction Type]],"loan in")</f>
        <v>0</v>
      </c>
      <c r="Z7" s="106">
        <f>SUMIFS(Table_Query_from_MS_Access_Database[[#All],[TAP 5-2]],Table_Query_from_MS_Access_Database[[#All],[Transaction Year]],"2025",Table_Query_from_MS_Access_Database[[#All],[Transaction Type]],"loan in")</f>
        <v>0</v>
      </c>
      <c r="AA7" s="106">
        <f>SUMIFS(Table_Query_from_MS_Access_Database[[#All],[TAP 5-50]],Table_Query_from_MS_Access_Database[[#All],[Transaction Year]],"2025",Table_Query_from_MS_Access_Database[[#All],[Transaction Type]],"loan in")</f>
        <v>0</v>
      </c>
      <c r="AB7" s="106">
        <f>SUMIFS(Table_Query_from_MS_Access_Database[[#All],[TAP 50-200]],Table_Query_from_MS_Access_Database[[#All],[Transaction Year]],"2025",Table_Query_from_MS_Access_Database[[#All],[Transaction Type]],"loan in")</f>
        <v>0</v>
      </c>
      <c r="AC7" s="106">
        <f>SUMIFS(Table_Query_from_MS_Access_Database[[#All],[TAP &gt;200]],Table_Query_from_MS_Access_Database[[#All],[Transaction Year]],"2025",Table_Query_from_MS_Access_Database[[#All],[Transaction Type]],"loan in")</f>
        <v>0</v>
      </c>
      <c r="AD7" s="106">
        <f>SUMIFS(Table_Query_from_MS_Access_Database[[#All],[TAP Flex]],Table_Query_from_MS_Access_Database[[#All],[Transaction Year]],"2025",Table_Query_from_MS_Access_Database[[#All],[Transaction Type]],"loan in")</f>
        <v>0</v>
      </c>
      <c r="AE7" s="106">
        <f>SUMIFS(Table_Query_from_MS_Access_Database[[#All],[CRP &lt;5]],Table_Query_from_MS_Access_Database[[#All],[Transaction Year]],"2025",Table_Query_from_MS_Access_Database[[#All],[Transaction Type]],"loan in")</f>
        <v>0</v>
      </c>
      <c r="AF7" s="106">
        <f>SUMIFS(Table_Query_from_MS_Access_Database[[#All],[CRP 5-50]],Table_Query_from_MS_Access_Database[[#All],[Transaction Year]],"2025",Table_Query_from_MS_Access_Database[[#All],[Transaction Type]],"loan in")</f>
        <v>0</v>
      </c>
      <c r="AG7" s="106">
        <f>SUMIFS(Table_Query_from_MS_Access_Database[[#All],[CRP 50-200]],Table_Query_from_MS_Access_Database[[#All],[Transaction Year]],"2025",Table_Query_from_MS_Access_Database[[#All],[Transaction Type]],"loan in")</f>
        <v>0</v>
      </c>
      <c r="AH7" s="106">
        <f>SUMIFS(Table_Query_from_MS_Access_Database[[#All],[CRP &gt;200]],Table_Query_from_MS_Access_Database[[#All],[Number]],"2023",Table_Query_from_MS_Access_Database[[#All],[From]],"loan in")</f>
        <v>0</v>
      </c>
      <c r="AI7" s="106">
        <f t="shared" ref="AI7:AI12" si="0">SUM(M7:AH7)</f>
        <v>0</v>
      </c>
      <c r="AJ7" s="127">
        <f>SUMIFS(Table_Query_from_MS_Access_Database_16[[#All],[Total]],Table_Query_from_MS_Access_Database_16[[#All],[Transaction Year]],"2025",Table_Query_from_MS_Access_Database_16[[#All],[Transaction Type]],"Loan In")</f>
        <v>0</v>
      </c>
    </row>
    <row r="8" spans="1:36">
      <c r="A8" s="29"/>
      <c r="L8" s="101" t="s">
        <v>67</v>
      </c>
      <c r="M8" s="102">
        <f>SUMIFS(Table_Query_from_MS_Access_Database[[#All],[HURF Exchange]],Table_Query_from_MS_Access_Database[[#All],[Transaction Year]],"2026",Table_Query_from_MS_Access_Database[[#All],[Transaction Type]],"loan Out")</f>
        <v>0</v>
      </c>
      <c r="N8" s="103">
        <f>SUMIFS(Table_Query_from_MS_Access_Database[[#All],[HSIP]],Table_Query_from_MS_Access_Database[[#All],[Transaction Year]],"2026",Table_Query_from_MS_Access_Database[[#All],[Transaction Type]],"loan Out")</f>
        <v>0</v>
      </c>
      <c r="O8" s="103">
        <f>SUMIFS(Table_Query_from_MS_Access_Database[[#All],[PLAN]],Table_Query_from_MS_Access_Database[[#All],[Transaction Year]],"2026",Table_Query_from_MS_Access_Database[[#All],[Transaction Type]],"loan Out")</f>
        <v>0</v>
      </c>
      <c r="P8" s="103">
        <f>SUMIFS(Table_Query_from_MS_Access_Database[[#All],[PLAN SATO]],Table_Query_from_MS_Access_Database[[#All],[Transaction Year]],"2026",Table_Query_from_MS_Access_Database[[#All],[Transaction Type]],"loan Out")</f>
        <v>0</v>
      </c>
      <c r="Q8" s="103">
        <f>SUMIFS(Table_Query_from_MS_Access_Database[[#All],[SPR]],Table_Query_from_MS_Access_Database[[#All],[Transaction Year]],"2026",Table_Query_from_MS_Access_Database[[#All],[Transaction Type]],"loan Out")</f>
        <v>0</v>
      </c>
      <c r="R8" s="103">
        <f>SUMIFS(Table_Query_from_MS_Access_Database[[#All],[STP &lt;5]],Table_Query_from_MS_Access_Database[[#All],[Transaction Year]],"2026",Table_Query_from_MS_Access_Database[[#All],[Transaction Type]],"loan Out")</f>
        <v>0</v>
      </c>
      <c r="S8" s="103">
        <f>SUMIFS(Table_Query_from_MS_Access_Database[[#All],[STP 5-2]],Table_Query_from_MS_Access_Database[[#All],[Transaction Year]],"2026",Table_Query_from_MS_Access_Database[[#All],[Transaction Type]],"loan Out")</f>
        <v>0</v>
      </c>
      <c r="T8" s="103">
        <f>SUMIFS(Table_Query_from_MS_Access_Database[[#All],[STP 5-50]],Table_Query_from_MS_Access_Database[[#All],[Transaction Year]],"2026",Table_Query_from_MS_Access_Database[[#All],[Transaction Type]],"loan Out")</f>
        <v>0</v>
      </c>
      <c r="U8" s="103">
        <f>SUMIFS(Table_Query_from_MS_Access_Database[[#All],[STP 50-200]],Table_Query_from_MS_Access_Database[[#All],[Transaction Year]],"2026",Table_Query_from_MS_Access_Database[[#All],[Transaction Type]],"loan Out")</f>
        <v>0</v>
      </c>
      <c r="V8" s="103">
        <f>SUMIFS(Table_Query_from_MS_Access_Database[[#All],[STP &gt;200]],Table_Query_from_MS_Access_Database[[#All],[Transaction Year]],"2026",Table_Query_from_MS_Access_Database[[#All],[Transaction Type]],"loan Out")</f>
        <v>0</v>
      </c>
      <c r="W8" s="103">
        <f>SUMIFS(Table_Query_from_MS_Access_Database[[#All],[STP Flex]],Table_Query_from_MS_Access_Database[[#All],[Transaction Year]],"2026",Table_Query_from_MS_Access_Database[[#All],[Transaction Type]],"loan Out")</f>
        <v>0</v>
      </c>
      <c r="X8" s="103">
        <f>SUMIFS(Table_Query_from_MS_Access_Database[[#All],[HIP &gt;200]],Table_Query_from_MS_Access_Database[[#All],[Transaction Year]],"2026",Table_Query_from_MS_Access_Database[[#All],[Transaction Type]],"loan Out")</f>
        <v>0</v>
      </c>
      <c r="Y8" s="103">
        <f>SUMIFS(Table_Query_from_MS_Access_Database[[#All],[TAP &lt;5]],Table_Query_from_MS_Access_Database[[#All],[Transaction Year]],"2026",Table_Query_from_MS_Access_Database[[#All],[Transaction Type]],"loan Out")</f>
        <v>0</v>
      </c>
      <c r="Z8" s="103">
        <f>SUMIFS(Table_Query_from_MS_Access_Database[[#All],[TAP 5-2]],Table_Query_from_MS_Access_Database[[#All],[Transaction Year]],"2026",Table_Query_from_MS_Access_Database[[#All],[Transaction Type]],"loan Out")</f>
        <v>0</v>
      </c>
      <c r="AA8" s="103">
        <f>SUMIFS(Table_Query_from_MS_Access_Database[[#All],[TAP 5-50]],Table_Query_from_MS_Access_Database[[#All],[Transaction Year]],"2026",Table_Query_from_MS_Access_Database[[#All],[Transaction Type]],"loan Out")</f>
        <v>0</v>
      </c>
      <c r="AB8" s="103">
        <f>SUMIFS(Table_Query_from_MS_Access_Database[[#All],[TAP 50-200]],Table_Query_from_MS_Access_Database[[#All],[Transaction Year]],"2026",Table_Query_from_MS_Access_Database[[#All],[Transaction Type]],"loan Out")</f>
        <v>0</v>
      </c>
      <c r="AC8" s="103">
        <f>SUMIFS(Table_Query_from_MS_Access_Database[[#All],[TAP &gt;200]],Table_Query_from_MS_Access_Database[[#All],[Transaction Year]],"2026",Table_Query_from_MS_Access_Database[[#All],[Transaction Type]],"loan Out")</f>
        <v>0</v>
      </c>
      <c r="AD8" s="103">
        <f>SUMIFS(Table_Query_from_MS_Access_Database[[#All],[TAP Flex]],Table_Query_from_MS_Access_Database[[#All],[Transaction Year]],"2026",Table_Query_from_MS_Access_Database[[#All],[Transaction Type]],"loan Out")</f>
        <v>0</v>
      </c>
      <c r="AE8" s="103">
        <f>SUMIFS(Table_Query_from_MS_Access_Database[[#All],[CRP &lt;5]],Table_Query_from_MS_Access_Database[[#All],[Transaction Year]],"2026",Table_Query_from_MS_Access_Database[[#All],[Transaction Type]],"loan Out")</f>
        <v>0</v>
      </c>
      <c r="AF8" s="103">
        <f>SUMIFS(Table_Query_from_MS_Access_Database[[#All],[CRP 5-50]],Table_Query_from_MS_Access_Database[[#All],[Transaction Year]],"2026",Table_Query_from_MS_Access_Database[[#All],[Transaction Type]],"loan Out")</f>
        <v>0</v>
      </c>
      <c r="AG8" s="103">
        <f>SUMIFS(Table_Query_from_MS_Access_Database[[#All],[CRP 50-200]],Table_Query_from_MS_Access_Database[[#All],[Transaction Year]],"2026",Table_Query_from_MS_Access_Database[[#All],[Transaction Type]],"loan Out")</f>
        <v>0</v>
      </c>
      <c r="AH8" s="103">
        <f>SUMIFS(Table_Query_from_MS_Access_Database[[#All],[CRP &gt;200]],Table_Query_from_MS_Access_Database[[#All],[Transaction Year]],"2026",Table_Query_from_MS_Access_Database[[#All],[Transaction Type]],"loan Out")</f>
        <v>0</v>
      </c>
      <c r="AI8" s="103">
        <f t="shared" si="0"/>
        <v>0</v>
      </c>
      <c r="AJ8" s="128">
        <f>SUMIFS(Table_Query_from_MS_Access_Database_16[[#All],[Total]],Table_Query_from_MS_Access_Database_16[[#All],[Transaction Year]],"2026",Table_Query_from_MS_Access_Database_16[[#All],[Transaction Type]],"Loan Out")</f>
        <v>0</v>
      </c>
    </row>
    <row r="9" spans="1:36">
      <c r="L9" s="108" t="s">
        <v>68</v>
      </c>
      <c r="M9" s="105">
        <f>SUMIFS(Table_Query_from_MS_Access_Database[[#All],[HURF Exchange]],Table_Query_from_MS_Access_Database[[#All],[Transaction Year]],"2026",Table_Query_from_MS_Access_Database[[#All],[Transaction Type]],"repayment in")</f>
        <v>0</v>
      </c>
      <c r="N9" s="106">
        <f>SUMIFS(Table_Query_from_MS_Access_Database[[#All],[HSIP]],Table_Query_from_MS_Access_Database[[#All],[Transaction Year]],"2026",Table_Query_from_MS_Access_Database[[#All],[Transaction Type]],"repayment in")</f>
        <v>0</v>
      </c>
      <c r="O9" s="106">
        <f>SUMIFS(Table_Query_from_MS_Access_Database[[#All],[PLAN]],Table_Query_from_MS_Access_Database[[#All],[Transaction Year]],"2026",Table_Query_from_MS_Access_Database[[#All],[Transaction Type]],"repayment in")</f>
        <v>0</v>
      </c>
      <c r="P9" s="106">
        <f>SUMIFS(Table_Query_from_MS_Access_Database[[#All],[PLAN SATO]],Table_Query_from_MS_Access_Database[[#All],[Transaction Year]],"2026",Table_Query_from_MS_Access_Database[[#All],[Transaction Type]],"repayment in")</f>
        <v>0</v>
      </c>
      <c r="Q9" s="106">
        <f>SUMIFS(Table_Query_from_MS_Access_Database[[#All],[SPR]],Table_Query_from_MS_Access_Database[[#All],[Transaction Year]],"2026",Table_Query_from_MS_Access_Database[[#All],[Transaction Type]],"repayment in")</f>
        <v>0</v>
      </c>
      <c r="R9" s="106">
        <f>SUMIFS(Table_Query_from_MS_Access_Database[[#All],[STP &lt;5]],Table_Query_from_MS_Access_Database[[#All],[Transaction Year]],"2026",Table_Query_from_MS_Access_Database[[#All],[Transaction Type]],"repayment in")</f>
        <v>1461000</v>
      </c>
      <c r="S9" s="106">
        <f>SUMIFS(Table_Query_from_MS_Access_Database[[#All],[STP 5-2]],Table_Query_from_MS_Access_Database[[#All],[Transaction Year]],"2026",Table_Query_from_MS_Access_Database[[#All],[Transaction Type]],"repayment in")</f>
        <v>0</v>
      </c>
      <c r="T9" s="106">
        <f>SUMIFS(Table_Query_from_MS_Access_Database[[#All],[STP 5-50]],Table_Query_from_MS_Access_Database[[#All],[Transaction Year]],"2026",Table_Query_from_MS_Access_Database[[#All],[Transaction Type]],"repayment in")</f>
        <v>1140000</v>
      </c>
      <c r="U9" s="106">
        <f>SUMIFS(Table_Query_from_MS_Access_Database[[#All],[STP 50-200]],Table_Query_from_MS_Access_Database[[#All],[Transaction Year]],"2026",Table_Query_from_MS_Access_Database[[#All],[Transaction Type]],"repayment in")</f>
        <v>0</v>
      </c>
      <c r="V9" s="106">
        <f>SUMIFS(Table_Query_from_MS_Access_Database[[#All],[STP &gt;200]],Table_Query_from_MS_Access_Database[[#All],[Transaction Year]],"2026",Table_Query_from_MS_Access_Database[[#All],[Transaction Type]],"repayment in")</f>
        <v>0</v>
      </c>
      <c r="W9" s="106">
        <f>SUMIFS(Table_Query_from_MS_Access_Database[[#All],[STP Flex]],Table_Query_from_MS_Access_Database[[#All],[Transaction Year]],"2026",Table_Query_from_MS_Access_Database[[#All],[Transaction Type]],"repayment in")</f>
        <v>0</v>
      </c>
      <c r="X9" s="106">
        <f>SUMIFS(Table_Query_from_MS_Access_Database[[#All],[HIP &gt;200]],Table_Query_from_MS_Access_Database[[#All],[Transaction Year]],"2026",Table_Query_from_MS_Access_Database[[#All],[Transaction Type]],"repayment in")</f>
        <v>0</v>
      </c>
      <c r="Y9" s="106">
        <f>SUMIFS(Table_Query_from_MS_Access_Database[[#All],[TAP &lt;5]],Table_Query_from_MS_Access_Database[[#All],[Transaction Year]],"2026",Table_Query_from_MS_Access_Database[[#All],[Transaction Type]],"repayment in")</f>
        <v>0</v>
      </c>
      <c r="Z9" s="106">
        <f>SUMIFS(Table_Query_from_MS_Access_Database[[#All],[TAP 5-2]],Table_Query_from_MS_Access_Database[[#All],[Transaction Year]],"2026",Table_Query_from_MS_Access_Database[[#All],[Transaction Type]],"repayment in")</f>
        <v>0</v>
      </c>
      <c r="AA9" s="106">
        <f>SUMIFS(Table_Query_from_MS_Access_Database[[#All],[TAP 5-50]],Table_Query_from_MS_Access_Database[[#All],[Transaction Year]],"2026",Table_Query_from_MS_Access_Database[[#All],[Transaction Type]],"repayment in")</f>
        <v>0</v>
      </c>
      <c r="AB9" s="106">
        <f>SUMIFS(Table_Query_from_MS_Access_Database[[#All],[TAP 50-200]],Table_Query_from_MS_Access_Database[[#All],[Transaction Year]],"2026",Table_Query_from_MS_Access_Database[[#All],[Transaction Type]],"repayment in")</f>
        <v>0</v>
      </c>
      <c r="AC9" s="106">
        <f>SUMIFS(Table_Query_from_MS_Access_Database[[#All],[TAP &gt;200]],Table_Query_from_MS_Access_Database[[#All],[Transaction Year]],"2026",Table_Query_from_MS_Access_Database[[#All],[Transaction Type]],"repayment in")</f>
        <v>2867721.98</v>
      </c>
      <c r="AD9" s="106">
        <f>SUMIFS(Table_Query_from_MS_Access_Database[[#All],[TAP Flex]],Table_Query_from_MS_Access_Database[[#All],[Transaction Year]],"2026",Table_Query_from_MS_Access_Database[[#All],[Transaction Type]],"repayment in")</f>
        <v>0</v>
      </c>
      <c r="AE9" s="106">
        <f>SUMIFS(Table_Query_from_MS_Access_Database[[#All],[CRP &lt;5]],Table_Query_from_MS_Access_Database[[#All],[Transaction Year]],"2026",Table_Query_from_MS_Access_Database[[#All],[Transaction Type]],"repayment in")</f>
        <v>0</v>
      </c>
      <c r="AF9" s="106">
        <f>SUMIFS(Table_Query_from_MS_Access_Database[[#All],[CRP 5-50]],Table_Query_from_MS_Access_Database[[#All],[Transaction Year]],"2026",Table_Query_from_MS_Access_Database[[#All],[Transaction Type]],"repayment in")</f>
        <v>0</v>
      </c>
      <c r="AG9" s="106">
        <f>SUMIFS(Table_Query_from_MS_Access_Database[[#All],[CRP 50-200]],Table_Query_from_MS_Access_Database[[#All],[Transaction Year]],"2026",Table_Query_from_MS_Access_Database[[#All],[Transaction Type]],"repayment in")</f>
        <v>0</v>
      </c>
      <c r="AH9" s="106">
        <f>SUMIFS(Table_Query_from_MS_Access_Database[[#All],[CRP &gt;200]],Table_Query_from_MS_Access_Database[[#All],[Transaction Year]],"2026",Table_Query_from_MS_Access_Database[[#All],[Transaction Type]],"repayment in")</f>
        <v>0</v>
      </c>
      <c r="AI9" s="106">
        <f t="shared" si="0"/>
        <v>5468721.9800000004</v>
      </c>
      <c r="AJ9" s="127">
        <f>SUMIFS(Table_Query_from_MS_Access_Database_16[[#All],[Total]],Table_Query_from_MS_Access_Database_16[[#All],[Transaction Year]],"2026",Table_Query_from_MS_Access_Database_16[[#All],[Transaction Type]],"repayment In")</f>
        <v>5468721.9800000004</v>
      </c>
    </row>
    <row r="10" spans="1:36" ht="16.5" customHeight="1">
      <c r="A10" s="222" t="s">
        <v>82</v>
      </c>
      <c r="B10" s="222"/>
      <c r="C10" s="222"/>
      <c r="D10" s="222"/>
      <c r="E10" s="222"/>
      <c r="F10" s="222"/>
      <c r="G10" s="222"/>
      <c r="H10" s="222"/>
      <c r="I10" s="149"/>
      <c r="J10" s="149"/>
      <c r="K10" s="149"/>
      <c r="L10" s="101" t="s">
        <v>69</v>
      </c>
      <c r="M10" s="102">
        <f>SUMIFS(Table_Query_from_MS_Access_Database[[#All],[HURF Exchange]],Table_Query_from_MS_Access_Database[[#All],[Transaction Year]],"2026",Table_Query_from_MS_Access_Database[[#All],[Transaction Type]],"repayment Out")</f>
        <v>0</v>
      </c>
      <c r="N10" s="103">
        <f>SUMIFS(Table_Query_from_MS_Access_Database[[#All],[HSIP]],Table_Query_from_MS_Access_Database[[#All],[Transaction Year]],"2026",Table_Query_from_MS_Access_Database[[#All],[Transaction Type]],"repayment Out")</f>
        <v>0</v>
      </c>
      <c r="O10" s="103">
        <f>SUMIFS(Table_Query_from_MS_Access_Database[[#All],[PLAN]],Table_Query_from_MS_Access_Database[[#All],[Transaction Year]],"2026",Table_Query_from_MS_Access_Database[[#All],[Transaction Type]],"repayment Out")</f>
        <v>0</v>
      </c>
      <c r="P10" s="103">
        <f>SUMIFS(Table_Query_from_MS_Access_Database[[#All],[PLAN SATO]],Table_Query_from_MS_Access_Database[[#All],[Transaction Year]],"2026",Table_Query_from_MS_Access_Database[[#All],[Transaction Type]],"repayment Out")</f>
        <v>0</v>
      </c>
      <c r="Q10" s="103">
        <f>SUMIFS(Table_Query_from_MS_Access_Database[[#All],[SPR]],Table_Query_from_MS_Access_Database[[#All],[Transaction Year]],"2026",Table_Query_from_MS_Access_Database[[#All],[Transaction Type]],"repayment Out")</f>
        <v>0</v>
      </c>
      <c r="R10" s="103">
        <f>SUMIFS(Table_Query_from_MS_Access_Database[[#All],[STP &lt;5]],Table_Query_from_MS_Access_Database[[#All],[Transaction Year]],"2026",Table_Query_from_MS_Access_Database[[#All],[Transaction Type]],"repayment Out")</f>
        <v>0</v>
      </c>
      <c r="S10" s="103">
        <f>SUMIFS(Table_Query_from_MS_Access_Database[[#All],[STP 5-2]],Table_Query_from_MS_Access_Database[[#All],[Transaction Year]],"2026",Table_Query_from_MS_Access_Database[[#All],[Transaction Type]],"repayment Out")</f>
        <v>0</v>
      </c>
      <c r="T10" s="103">
        <f>SUMIFS(Table_Query_from_MS_Access_Database[[#All],[STP 5-50]],Table_Query_from_MS_Access_Database[[#All],[Transaction Year]],"2026",Table_Query_from_MS_Access_Database[[#All],[Transaction Type]],"repayment Out")</f>
        <v>0</v>
      </c>
      <c r="U10" s="103">
        <f>SUMIFS(Table_Query_from_MS_Access_Database[[#All],[STP 50-200]],Table_Query_from_MS_Access_Database[[#All],[Transaction Year]],"2026",Table_Query_from_MS_Access_Database[[#All],[Transaction Type]],"repayment Out")</f>
        <v>0</v>
      </c>
      <c r="V10" s="103">
        <f>SUMIFS(Table_Query_from_MS_Access_Database[[#All],[STP &gt;200]],Table_Query_from_MS_Access_Database[[#All],[Transaction Year]],"2026",Table_Query_from_MS_Access_Database[[#All],[Transaction Type]],"repayment Out")</f>
        <v>0</v>
      </c>
      <c r="W10" s="103">
        <f>SUMIFS(Table_Query_from_MS_Access_Database[[#All],[STP Flex]],Table_Query_from_MS_Access_Database[[#All],[Transaction Year]],"2026",Table_Query_from_MS_Access_Database[[#All],[Transaction Type]],"repayment Out")</f>
        <v>0</v>
      </c>
      <c r="X10" s="103">
        <f>SUMIFS(Table_Query_from_MS_Access_Database[[#All],[HIP &gt;200]],Table_Query_from_MS_Access_Database[[#All],[Transaction Year]],"2026",Table_Query_from_MS_Access_Database[[#All],[Transaction Type]],"repayment Out")</f>
        <v>0</v>
      </c>
      <c r="Y10" s="103">
        <f>SUMIFS(Table_Query_from_MS_Access_Database[[#All],[TAP &lt;5]],Table_Query_from_MS_Access_Database[[#All],[Transaction Year]],"2026",Table_Query_from_MS_Access_Database[[#All],[Transaction Type]],"repayment Out")</f>
        <v>0</v>
      </c>
      <c r="Z10" s="103">
        <f>SUMIFS(Table_Query_from_MS_Access_Database[[#All],[TAP 5-2]],Table_Query_from_MS_Access_Database[[#All],[Transaction Year]],"2026",Table_Query_from_MS_Access_Database[[#All],[Transaction Type]],"repayment Out")</f>
        <v>0</v>
      </c>
      <c r="AA10" s="103">
        <f>SUMIFS(Table_Query_from_MS_Access_Database[[#All],[TAP 5-50]],Table_Query_from_MS_Access_Database[[#All],[Transaction Year]],"2026",Table_Query_from_MS_Access_Database[[#All],[Transaction Type]],"repayment Out")</f>
        <v>0</v>
      </c>
      <c r="AB10" s="103">
        <f>SUMIFS(Table_Query_from_MS_Access_Database[[#All],[TAP 50-200]],Table_Query_from_MS_Access_Database[[#All],[Transaction Year]],"2026",Table_Query_from_MS_Access_Database[[#All],[Transaction Type]],"repayment Out")</f>
        <v>0</v>
      </c>
      <c r="AC10" s="103">
        <f>SUMIFS(Table_Query_from_MS_Access_Database[[#All],[TAP &gt;200]],Table_Query_from_MS_Access_Database[[#All],[Transaction Year]],"2026",Table_Query_from_MS_Access_Database[[#All],[Transaction Type]],"repayment Out")</f>
        <v>0</v>
      </c>
      <c r="AD10" s="103">
        <f>SUMIFS(Table_Query_from_MS_Access_Database[[#All],[TAP Flex]],Table_Query_from_MS_Access_Database[[#All],[Transaction Year]],"2026",Table_Query_from_MS_Access_Database[[#All],[Transaction Type]],"repayment Out")</f>
        <v>0</v>
      </c>
      <c r="AE10" s="103">
        <f>SUMIFS(Table_Query_from_MS_Access_Database[[#All],[CRP &lt;5]],Table_Query_from_MS_Access_Database[[#All],[Transaction Year]],"2026",Table_Query_from_MS_Access_Database[[#All],[Transaction Type]],"repayment Out")</f>
        <v>0</v>
      </c>
      <c r="AF10" s="103">
        <f>SUMIFS(Table_Query_from_MS_Access_Database[[#All],[CRP 5-50]],Table_Query_from_MS_Access_Database[[#All],[Transaction Year]],"2026",Table_Query_from_MS_Access_Database[[#All],[Transaction Type]],"repayment Out")</f>
        <v>0</v>
      </c>
      <c r="AG10" s="103">
        <f>SUMIFS(Table_Query_from_MS_Access_Database[[#All],[CRP 50-200]],Table_Query_from_MS_Access_Database[[#All],[Transaction Year]],"2026",Table_Query_from_MS_Access_Database[[#All],[Transaction Type]],"repayment Out")</f>
        <v>0</v>
      </c>
      <c r="AH10" s="103">
        <f>SUMIFS(Table_Query_from_MS_Access_Database[[#All],[CRP &gt;200]],Table_Query_from_MS_Access_Database[[#All],[Transaction Year]],"2026",Table_Query_from_MS_Access_Database[[#All],[Transaction Type]],"repayment Out")</f>
        <v>0</v>
      </c>
      <c r="AI10" s="103">
        <f t="shared" si="0"/>
        <v>0</v>
      </c>
      <c r="AJ10" s="128">
        <f>SUMIFS(Table_Query_from_MS_Access_Database_16[[#All],[Total]],Table_Query_from_MS_Access_Database_16[[#All],[Transaction Year]],"2026",Table_Query_from_MS_Access_Database_16[[#All],[Transaction Type]],"Repayment Out")</f>
        <v>0</v>
      </c>
    </row>
    <row r="11" spans="1:36">
      <c r="L11" s="108" t="s">
        <v>70</v>
      </c>
      <c r="M11" s="105">
        <f>SUMIFS(Table_Query_from_MS_Access_Database[[#All],[HURF Exchange]],Table_Query_from_MS_Access_Database[[#All],[Transaction Year]],"2026",Table_Query_from_MS_Access_Database[[#All],[Transaction Type]],"Transfer in")</f>
        <v>0</v>
      </c>
      <c r="N11" s="106">
        <f>SUMIFS(Table_Query_from_MS_Access_Database[[#All],[HSIP]],Table_Query_from_MS_Access_Database[[#All],[Transaction Year]],"2026",Table_Query_from_MS_Access_Database[[#All],[Transaction Type]],"Transfer in")</f>
        <v>0</v>
      </c>
      <c r="O11" s="106">
        <f>SUMIFS(Table_Query_from_MS_Access_Database[[#All],[PLAN]],Table_Query_from_MS_Access_Database[[#All],[Transaction Year]],"2026",Table_Query_from_MS_Access_Database[[#All],[Transaction Type]],"Transfer in")</f>
        <v>0</v>
      </c>
      <c r="P11" s="106">
        <f>SUMIFS(Table_Query_from_MS_Access_Database[[#All],[PLAN SATO]],Table_Query_from_MS_Access_Database[[#All],[Transaction Year]],"2026",Table_Query_from_MS_Access_Database[[#All],[Transaction Type]],"Transfer in")</f>
        <v>0</v>
      </c>
      <c r="Q11" s="106">
        <f>SUMIFS(Table_Query_from_MS_Access_Database[[#All],[SPR]],Table_Query_from_MS_Access_Database[[#All],[Transaction Year]],"2026",Table_Query_from_MS_Access_Database[[#All],[Transaction Type]],"Transfer in")</f>
        <v>0</v>
      </c>
      <c r="R11" s="106">
        <f>SUMIFS(Table_Query_from_MS_Access_Database[[#All],[STP &lt;5]],Table_Query_from_MS_Access_Database[[#All],[Transaction Year]],"2026",Table_Query_from_MS_Access_Database[[#All],[Transaction Type]],"Transfer in")</f>
        <v>0</v>
      </c>
      <c r="S11" s="106">
        <f>SUMIFS(Table_Query_from_MS_Access_Database[[#All],[STP 5-2]],Table_Query_from_MS_Access_Database[[#All],[Transaction Year]],"2026",Table_Query_from_MS_Access_Database[[#All],[Transaction Type]],"Transfer in")</f>
        <v>0</v>
      </c>
      <c r="T11" s="106">
        <f>SUMIFS(Table_Query_from_MS_Access_Database[[#All],[STP 5-50]],Table_Query_from_MS_Access_Database[[#All],[Transaction Year]],"2026",Table_Query_from_MS_Access_Database[[#All],[Transaction Type]],"Transfer in")</f>
        <v>0</v>
      </c>
      <c r="U11" s="106">
        <f>SUMIFS(Table_Query_from_MS_Access_Database[[#All],[STP 50-200]],Table_Query_from_MS_Access_Database[[#All],[Transaction Year]],"2026",Table_Query_from_MS_Access_Database[[#All],[Transaction Type]],"Transfer in")</f>
        <v>0</v>
      </c>
      <c r="V11" s="106">
        <f>SUMIFS(Table_Query_from_MS_Access_Database[[#All],[STP &gt;200]],Table_Query_from_MS_Access_Database[[#All],[Transaction Year]],"2026",Table_Query_from_MS_Access_Database[[#All],[Transaction Type]],"Transfer in")</f>
        <v>0</v>
      </c>
      <c r="W11" s="106">
        <f>SUMIFS(Table_Query_from_MS_Access_Database[[#All],[STP Flex]],Table_Query_from_MS_Access_Database[[#All],[Transaction Year]],"2026",Table_Query_from_MS_Access_Database[[#All],[Transaction Type]],"Transfer in")</f>
        <v>0</v>
      </c>
      <c r="X11" s="106">
        <f>SUMIFS(Table_Query_from_MS_Access_Database[[#All],[HIP &gt;200]],Table_Query_from_MS_Access_Database[[#All],[Transaction Year]],"2026",Table_Query_from_MS_Access_Database[[#All],[Transaction Type]],"Transfer in")</f>
        <v>0</v>
      </c>
      <c r="Y11" s="106">
        <f>SUMIFS(Table_Query_from_MS_Access_Database[[#All],[TAP &lt;5]],Table_Query_from_MS_Access_Database[[#All],[Transaction Year]],"2026",Table_Query_from_MS_Access_Database[[#All],[Transaction Type]],"Transfer in")</f>
        <v>0</v>
      </c>
      <c r="Z11" s="106">
        <f>SUMIFS(Table_Query_from_MS_Access_Database[[#All],[TAP 5-2]],Table_Query_from_MS_Access_Database[[#All],[Transaction Year]],"2026",Table_Query_from_MS_Access_Database[[#All],[Transaction Type]],"Transfer in")</f>
        <v>0</v>
      </c>
      <c r="AA11" s="106">
        <f>SUMIFS(Table_Query_from_MS_Access_Database[[#All],[TAP 5-50]],Table_Query_from_MS_Access_Database[[#All],[Transaction Year]],"2026",Table_Query_from_MS_Access_Database[[#All],[Transaction Type]],"Transfer in")</f>
        <v>0</v>
      </c>
      <c r="AB11" s="106">
        <f>SUMIFS(Table_Query_from_MS_Access_Database[[#All],[TAP 50-200]],Table_Query_from_MS_Access_Database[[#All],[Transaction Year]],"2026",Table_Query_from_MS_Access_Database[[#All],[Transaction Type]],"Transfer in")</f>
        <v>0</v>
      </c>
      <c r="AC11" s="106">
        <f>SUMIFS(Table_Query_from_MS_Access_Database[[#All],[TAP &gt;200]],Table_Query_from_MS_Access_Database[[#All],[Transaction Year]],"2026",Table_Query_from_MS_Access_Database[[#All],[Transaction Type]],"Transfer in")</f>
        <v>0</v>
      </c>
      <c r="AD11" s="106">
        <f>SUMIFS(Table_Query_from_MS_Access_Database[[#All],[TAP Flex]],Table_Query_from_MS_Access_Database[[#All],[Transaction Year]],"2026",Table_Query_from_MS_Access_Database[[#All],[Transaction Type]],"Transfer in")</f>
        <v>0</v>
      </c>
      <c r="AE11" s="106">
        <f>SUMIFS(Table_Query_from_MS_Access_Database[[#All],[CRP &lt;5]],Table_Query_from_MS_Access_Database[[#All],[Transaction Year]],"2026",Table_Query_from_MS_Access_Database[[#All],[Transaction Type]],"Transfer in")</f>
        <v>0</v>
      </c>
      <c r="AF11" s="106">
        <f>SUMIFS(Table_Query_from_MS_Access_Database[[#All],[CRP 5-50]],Table_Query_from_MS_Access_Database[[#All],[Transaction Year]],"2026",Table_Query_from_MS_Access_Database[[#All],[Transaction Type]],"Transfer in")</f>
        <v>0</v>
      </c>
      <c r="AG11" s="106">
        <f>SUMIFS(Table_Query_from_MS_Access_Database[[#All],[CRP 50-200]],Table_Query_from_MS_Access_Database[[#All],[Transaction Year]],"2026",Table_Query_from_MS_Access_Database[[#All],[Transaction Type]],"Transfer in")</f>
        <v>0</v>
      </c>
      <c r="AH11" s="106">
        <f>SUMIFS(Table_Query_from_MS_Access_Database[[#All],[CRP &gt;200]],Table_Query_from_MS_Access_Database[[#All],[Transaction Year]],"2026",Table_Query_from_MS_Access_Database[[#All],[Transaction Type]],"Transfer in")</f>
        <v>0</v>
      </c>
      <c r="AI11" s="106">
        <f t="shared" si="0"/>
        <v>0</v>
      </c>
      <c r="AJ11" s="127">
        <f>SUMIFS(Table_Query_from_MS_Access_Database_16[[#All],[Total]],Table_Query_from_MS_Access_Database_16[[#All],[Transaction Year]],"2026",Table_Query_from_MS_Access_Database_16[[#All],[Transaction Type]],"Transfer In")</f>
        <v>0</v>
      </c>
    </row>
    <row r="12" spans="1:36" ht="15" thickBot="1">
      <c r="F12" s="149"/>
      <c r="G12" s="149"/>
      <c r="L12" s="101" t="s">
        <v>71</v>
      </c>
      <c r="M12" s="102">
        <f>SUMIFS(Table_Query_from_MS_Access_Database[[#All],[HURF Exchange]],Table_Query_from_MS_Access_Database[[#All],[Transaction Year]],"2026",Table_Query_from_MS_Access_Database[[#All],[Transaction Type]],"Transfer Out")</f>
        <v>0</v>
      </c>
      <c r="N12" s="103">
        <f>SUMIFS(Table_Query_from_MS_Access_Database[[#All],[HSIP]],Table_Query_from_MS_Access_Database[[#All],[Transaction Year]],"2026",Table_Query_from_MS_Access_Database[[#All],[Transaction Type]],"Transfer Out")</f>
        <v>0</v>
      </c>
      <c r="O12" s="103">
        <f>SUMIFS(Table_Query_from_MS_Access_Database[[#All],[PLAN]],Table_Query_from_MS_Access_Database[[#All],[Transaction Year]],"2026",Table_Query_from_MS_Access_Database[[#All],[Transaction Type]],"Transfer Out")</f>
        <v>0</v>
      </c>
      <c r="P12" s="103">
        <f>SUMIFS(Table_Query_from_MS_Access_Database[[#All],[PLAN SATO]],Table_Query_from_MS_Access_Database[[#All],[Transaction Year]],"2026",Table_Query_from_MS_Access_Database[[#All],[Transaction Type]],"Transfer Out")</f>
        <v>0</v>
      </c>
      <c r="Q12" s="103">
        <f>SUMIFS(Table_Query_from_MS_Access_Database[[#All],[SPR]],Table_Query_from_MS_Access_Database[[#All],[Transaction Year]],"2026",Table_Query_from_MS_Access_Database[[#All],[Transaction Type]],"Transfer Out")</f>
        <v>0</v>
      </c>
      <c r="R12" s="103">
        <f>SUMIFS(Table_Query_from_MS_Access_Database[[#All],[STP &lt;5]],Table_Query_from_MS_Access_Database[[#All],[Transaction Year]],"2026",Table_Query_from_MS_Access_Database[[#All],[Transaction Type]],"Transfer Out")</f>
        <v>0</v>
      </c>
      <c r="S12" s="103">
        <f>SUMIFS(Table_Query_from_MS_Access_Database[[#All],[STP 5-2]],Table_Query_from_MS_Access_Database[[#All],[Transaction Year]],"2026",Table_Query_from_MS_Access_Database[[#All],[Transaction Type]],"Transfer Out")</f>
        <v>0</v>
      </c>
      <c r="T12" s="103">
        <f>SUMIFS(Table_Query_from_MS_Access_Database[[#All],[STP 5-50]],Table_Query_from_MS_Access_Database[[#All],[Transaction Year]],"2026",Table_Query_from_MS_Access_Database[[#All],[Transaction Type]],"Transfer Out")</f>
        <v>0</v>
      </c>
      <c r="U12" s="103">
        <f>SUMIFS(Table_Query_from_MS_Access_Database[[#All],[STP 50-200]],Table_Query_from_MS_Access_Database[[#All],[Transaction Year]],"2026",Table_Query_from_MS_Access_Database[[#All],[Transaction Type]],"Transfer Out")</f>
        <v>0</v>
      </c>
      <c r="V12" s="103">
        <f>SUMIFS(Table_Query_from_MS_Access_Database[[#All],[STP &gt;200]],Table_Query_from_MS_Access_Database[[#All],[Transaction Year]],"2026",Table_Query_from_MS_Access_Database[[#All],[Transaction Type]],"Transfer Out")</f>
        <v>0</v>
      </c>
      <c r="W12" s="103">
        <f>SUMIFS(Table_Query_from_MS_Access_Database[[#All],[STP Flex]],Table_Query_from_MS_Access_Database[[#All],[Transaction Year]],"2026",Table_Query_from_MS_Access_Database[[#All],[Transaction Type]],"Transfer Out")</f>
        <v>0</v>
      </c>
      <c r="X12" s="103">
        <f>SUMIFS(Table_Query_from_MS_Access_Database[[#All],[HIP &gt;200]],Table_Query_from_MS_Access_Database[[#All],[Transaction Year]],"2026",Table_Query_from_MS_Access_Database[[#All],[Transaction Type]],"Transfer Out")</f>
        <v>0</v>
      </c>
      <c r="Y12" s="103">
        <f>SUMIFS(Table_Query_from_MS_Access_Database[[#All],[TAP &lt;5]],Table_Query_from_MS_Access_Database[[#All],[Transaction Year]],"2026",Table_Query_from_MS_Access_Database[[#All],[Transaction Type]],"Transfer Out")</f>
        <v>0</v>
      </c>
      <c r="Z12" s="103">
        <f>SUMIFS(Table_Query_from_MS_Access_Database[[#All],[TAP 5-2]],Table_Query_from_MS_Access_Database[[#All],[Transaction Year]],"2026",Table_Query_from_MS_Access_Database[[#All],[Transaction Type]],"Transfer Out")</f>
        <v>0</v>
      </c>
      <c r="AA12" s="103">
        <f>SUMIFS(Table_Query_from_MS_Access_Database[[#All],[TAP 5-50]],Table_Query_from_MS_Access_Database[[#All],[Transaction Year]],"2026",Table_Query_from_MS_Access_Database[[#All],[Transaction Type]],"Transfer Out")</f>
        <v>0</v>
      </c>
      <c r="AB12" s="103">
        <f>SUMIFS(Table_Query_from_MS_Access_Database[[#All],[TAP 50-200]],Table_Query_from_MS_Access_Database[[#All],[Transaction Year]],"2026",Table_Query_from_MS_Access_Database[[#All],[Transaction Type]],"Transfer Out")</f>
        <v>0</v>
      </c>
      <c r="AC12" s="103">
        <f>SUMIFS(Table_Query_from_MS_Access_Database[[#All],[TAP &gt;200]],Table_Query_from_MS_Access_Database[[#All],[Transaction Year]],"2026",Table_Query_from_MS_Access_Database[[#All],[Transaction Type]],"Transfer Out")</f>
        <v>0</v>
      </c>
      <c r="AD12" s="103">
        <f>SUMIFS(Table_Query_from_MS_Access_Database[[#All],[TAP Flex]],Table_Query_from_MS_Access_Database[[#All],[Transaction Year]],"2026",Table_Query_from_MS_Access_Database[[#All],[Transaction Type]],"Transfer Out")</f>
        <v>0</v>
      </c>
      <c r="AE12" s="103">
        <f>SUMIFS(Table_Query_from_MS_Access_Database[[#All],[CRP &lt;5]],Table_Query_from_MS_Access_Database[[#All],[Transaction Year]],"2026",Table_Query_from_MS_Access_Database[[#All],[Transaction Type]],"Transfer Out")</f>
        <v>0</v>
      </c>
      <c r="AF12" s="103">
        <f>SUMIFS(Table_Query_from_MS_Access_Database[[#All],[CRP 5-50]],Table_Query_from_MS_Access_Database[[#All],[Transaction Year]],"2026",Table_Query_from_MS_Access_Database[[#All],[Transaction Type]],"Transfer Out")</f>
        <v>0</v>
      </c>
      <c r="AG12" s="103">
        <f>SUMIFS(Table_Query_from_MS_Access_Database[[#All],[CRP 50-200]],Table_Query_from_MS_Access_Database[[#All],[Transaction Year]],"2026",Table_Query_from_MS_Access_Database[[#All],[Transaction Type]],"Transfer Out")</f>
        <v>0</v>
      </c>
      <c r="AH12" s="103">
        <f>SUMIFS(Table_Query_from_MS_Access_Database[[#All],[CRP &gt;200]],Table_Query_from_MS_Access_Database[[#All],[Transaction Year]],"2026",Table_Query_from_MS_Access_Database[[#All],[Transaction Type]],"Transfer Out")</f>
        <v>0</v>
      </c>
      <c r="AI12" s="103">
        <f t="shared" si="0"/>
        <v>0</v>
      </c>
      <c r="AJ12" s="128">
        <f>SUMIFS(Table_Query_from_MS_Access_Database_16[[#All],[Total]],Table_Query_from_MS_Access_Database_16[[#All],[Transaction Year]],"2026",Table_Query_from_MS_Access_Database_16[[#All],[Transaction Type]],"Transfer Out")</f>
        <v>0</v>
      </c>
    </row>
    <row r="13" spans="1:36" ht="24">
      <c r="L13" s="109" t="s">
        <v>140</v>
      </c>
      <c r="M13" s="110">
        <f>SUM(M4:M12)</f>
        <v>0</v>
      </c>
      <c r="N13" s="111">
        <f>SUM(N4:N12)</f>
        <v>0</v>
      </c>
      <c r="O13" s="111">
        <f t="shared" ref="O13:AH13" si="1">SUM(O4:O12)</f>
        <v>1316551</v>
      </c>
      <c r="P13" s="111">
        <f t="shared" si="1"/>
        <v>33758</v>
      </c>
      <c r="Q13" s="111">
        <f t="shared" si="1"/>
        <v>350000</v>
      </c>
      <c r="R13" s="111">
        <f t="shared" si="1"/>
        <v>4108077</v>
      </c>
      <c r="S13" s="111">
        <f t="shared" si="1"/>
        <v>0</v>
      </c>
      <c r="T13" s="111">
        <f t="shared" si="1"/>
        <v>3910526</v>
      </c>
      <c r="U13" s="111">
        <f t="shared" si="1"/>
        <v>0</v>
      </c>
      <c r="V13" s="111">
        <f t="shared" si="1"/>
        <v>18221172.479999997</v>
      </c>
      <c r="W13" s="111">
        <f t="shared" si="1"/>
        <v>0</v>
      </c>
      <c r="X13" s="111">
        <f t="shared" si="1"/>
        <v>0</v>
      </c>
      <c r="Y13" s="111">
        <f t="shared" si="1"/>
        <v>198257</v>
      </c>
      <c r="Z13" s="111">
        <f t="shared" si="1"/>
        <v>0</v>
      </c>
      <c r="AA13" s="111">
        <f t="shared" si="1"/>
        <v>207503</v>
      </c>
      <c r="AB13" s="111">
        <f t="shared" si="1"/>
        <v>0</v>
      </c>
      <c r="AC13" s="111">
        <f t="shared" si="1"/>
        <v>8472441</v>
      </c>
      <c r="AD13" s="111">
        <f t="shared" si="1"/>
        <v>0</v>
      </c>
      <c r="AE13" s="111">
        <f t="shared" si="1"/>
        <v>182061</v>
      </c>
      <c r="AF13" s="111">
        <f t="shared" si="1"/>
        <v>190552</v>
      </c>
      <c r="AG13" s="111">
        <f t="shared" si="1"/>
        <v>0</v>
      </c>
      <c r="AH13" s="111">
        <f t="shared" si="1"/>
        <v>3712985</v>
      </c>
      <c r="AI13" s="111">
        <f>SUM(AI4:AI12)</f>
        <v>40903883.480000004</v>
      </c>
      <c r="AJ13" s="129">
        <f>SUM(AJ4:AJ12)</f>
        <v>31954497.98</v>
      </c>
    </row>
    <row r="14" spans="1:36">
      <c r="N14" s="30"/>
      <c r="O14" s="31"/>
      <c r="P14" s="31"/>
      <c r="Q14" s="31"/>
      <c r="R14" s="31"/>
      <c r="S14" s="31"/>
      <c r="T14" s="28"/>
    </row>
    <row r="15" spans="1:36" ht="17.25" customHeight="1">
      <c r="A15" s="210" t="s">
        <v>59</v>
      </c>
      <c r="B15" s="210"/>
      <c r="C15" s="210"/>
      <c r="D15" s="210"/>
      <c r="I15" s="214" t="s">
        <v>60</v>
      </c>
      <c r="J15" s="215"/>
      <c r="K15" s="215"/>
      <c r="L15" s="216"/>
      <c r="M15" s="158"/>
      <c r="N15" s="32"/>
      <c r="R15" s="28"/>
      <c r="S15" s="28"/>
      <c r="T15" s="28"/>
      <c r="U15" s="28"/>
      <c r="W15" s="51"/>
    </row>
    <row r="16" spans="1:36" s="34" customFormat="1" ht="13.15" customHeight="1">
      <c r="A16" s="59" t="s">
        <v>1</v>
      </c>
      <c r="B16" s="59" t="s">
        <v>0</v>
      </c>
      <c r="C16" s="59" t="s">
        <v>3</v>
      </c>
      <c r="D16" s="59" t="s">
        <v>79</v>
      </c>
      <c r="E16" s="59" t="s">
        <v>2</v>
      </c>
      <c r="F16" s="59" t="s">
        <v>44</v>
      </c>
      <c r="G16" s="59" t="s">
        <v>45</v>
      </c>
      <c r="H16" s="59" t="s">
        <v>46</v>
      </c>
      <c r="I16" s="183" t="s">
        <v>47</v>
      </c>
      <c r="J16" s="183" t="s">
        <v>48</v>
      </c>
      <c r="K16" s="183" t="s">
        <v>49</v>
      </c>
      <c r="L16" s="183" t="s">
        <v>50</v>
      </c>
      <c r="M16" s="59" t="s">
        <v>133</v>
      </c>
      <c r="N16" s="59" t="s">
        <v>4</v>
      </c>
      <c r="O16" s="59" t="s">
        <v>40</v>
      </c>
      <c r="P16" s="59" t="s">
        <v>175</v>
      </c>
      <c r="Q16" s="59" t="s">
        <v>5</v>
      </c>
      <c r="R16" s="59" t="s">
        <v>124</v>
      </c>
      <c r="S16" s="59" t="s">
        <v>137</v>
      </c>
      <c r="T16" s="59" t="s">
        <v>176</v>
      </c>
      <c r="U16" s="59" t="s">
        <v>177</v>
      </c>
      <c r="V16" s="59" t="s">
        <v>87</v>
      </c>
      <c r="W16" s="59" t="s">
        <v>51</v>
      </c>
      <c r="X16" s="59" t="s">
        <v>139</v>
      </c>
      <c r="Y16" s="59" t="s">
        <v>121</v>
      </c>
      <c r="Z16" s="59" t="s">
        <v>122</v>
      </c>
      <c r="AA16" s="59" t="s">
        <v>178</v>
      </c>
      <c r="AB16" s="59" t="s">
        <v>179</v>
      </c>
      <c r="AC16" s="153" t="s">
        <v>126</v>
      </c>
      <c r="AD16" s="153" t="s">
        <v>123</v>
      </c>
      <c r="AE16" s="153" t="s">
        <v>180</v>
      </c>
      <c r="AF16" s="153" t="s">
        <v>181</v>
      </c>
      <c r="AG16" s="153" t="s">
        <v>182</v>
      </c>
      <c r="AH16" s="153" t="s">
        <v>183</v>
      </c>
      <c r="AI16" s="153" t="s">
        <v>81</v>
      </c>
      <c r="AJ16" s="153" t="s">
        <v>185</v>
      </c>
    </row>
    <row r="17" spans="1:39" s="34" customFormat="1" ht="30" customHeight="1">
      <c r="A17" s="136" t="s">
        <v>315</v>
      </c>
      <c r="B17" s="136" t="s">
        <v>316</v>
      </c>
      <c r="C17" s="136" t="s">
        <v>284</v>
      </c>
      <c r="D17" s="136" t="s">
        <v>9</v>
      </c>
      <c r="E17" s="136" t="s">
        <v>317</v>
      </c>
      <c r="F17" s="176" t="s">
        <v>318</v>
      </c>
      <c r="G17" s="176" t="s">
        <v>218</v>
      </c>
      <c r="H17" s="176" t="s">
        <v>319</v>
      </c>
      <c r="I17" s="87"/>
      <c r="J17" s="134">
        <v>45946</v>
      </c>
      <c r="K17" s="134">
        <v>45946</v>
      </c>
      <c r="L17" s="134">
        <v>45952</v>
      </c>
      <c r="M17" s="95"/>
      <c r="N17" s="95"/>
      <c r="O17" s="95"/>
      <c r="P17" s="133"/>
      <c r="Q17" s="133"/>
      <c r="R17" s="133"/>
      <c r="S17" s="133"/>
      <c r="T17" s="133"/>
      <c r="U17" s="133"/>
      <c r="V17" s="133"/>
      <c r="W17" s="133"/>
      <c r="X17" s="133"/>
      <c r="Y17" s="133"/>
      <c r="Z17" s="133"/>
      <c r="AA17" s="135"/>
      <c r="AB17" s="86"/>
      <c r="AC17" s="152">
        <v>-120988.18</v>
      </c>
      <c r="AD17" s="152"/>
      <c r="AE17" s="152"/>
      <c r="AF17" s="152"/>
      <c r="AG17" s="152"/>
      <c r="AH17" s="152"/>
      <c r="AI17" s="152">
        <f>SUM(Table_Query_from_MS_Access_Database4[[#This Row],[HURF EX]:[CRP &gt;200]])</f>
        <v>-120988.18</v>
      </c>
      <c r="AJ17" s="152">
        <f ca="1">IF(ISTEXT(INDIRECT(ADDRESS(ROW()-1,COLUMN()))), INDIRECT(ADDRESS(13,COLUMN())),INDIRECT(ADDRESS(ROW()-1,COLUMN())))-Table_Query_from_MS_Access_Database4[[#This Row],[TOTAL OF AMOUNT]]</f>
        <v>32075486.16</v>
      </c>
    </row>
    <row r="18" spans="1:39" s="34" customFormat="1" ht="28.5" customHeight="1">
      <c r="A18" s="132" t="s">
        <v>320</v>
      </c>
      <c r="B18" s="132" t="s">
        <v>321</v>
      </c>
      <c r="C18" s="132" t="s">
        <v>94</v>
      </c>
      <c r="D18" s="132" t="s">
        <v>8</v>
      </c>
      <c r="E18" s="132" t="s">
        <v>322</v>
      </c>
      <c r="F18" s="59" t="s">
        <v>94</v>
      </c>
      <c r="G18" s="59" t="s">
        <v>227</v>
      </c>
      <c r="H18" s="59" t="s">
        <v>323</v>
      </c>
      <c r="I18" s="82"/>
      <c r="J18" s="82">
        <v>45953</v>
      </c>
      <c r="K18" s="82">
        <v>45958</v>
      </c>
      <c r="L18" s="82">
        <v>45958</v>
      </c>
      <c r="M18" s="63"/>
      <c r="N18" s="63"/>
      <c r="O18" s="63"/>
      <c r="P18" s="63"/>
      <c r="Q18" s="63"/>
      <c r="R18" s="63"/>
      <c r="S18" s="63">
        <v>-808559.76</v>
      </c>
      <c r="T18" s="63">
        <v>-1777488.06</v>
      </c>
      <c r="U18" s="63"/>
      <c r="V18" s="63"/>
      <c r="W18" s="63"/>
      <c r="X18" s="63"/>
      <c r="Y18" s="63"/>
      <c r="Z18" s="63"/>
      <c r="AA18" s="86"/>
      <c r="AB18" s="86"/>
      <c r="AC18" s="57"/>
      <c r="AD18" s="57"/>
      <c r="AE18" s="57"/>
      <c r="AF18" s="57"/>
      <c r="AG18" s="57"/>
      <c r="AH18" s="57"/>
      <c r="AI18" s="57">
        <f>SUM(Table_Query_from_MS_Access_Database4[[#This Row],[HURF EX]:[CRP &gt;200]])</f>
        <v>-2586047.8200000003</v>
      </c>
      <c r="AJ18" s="57">
        <f ca="1">IF(ISTEXT(INDIRECT(ADDRESS(ROW()-1,COLUMN()))), INDIRECT(ADDRESS(13,COLUMN())),INDIRECT(ADDRESS(ROW()-1,COLUMN())))-Table_Query_from_MS_Access_Database4[[#This Row],[TOTAL OF AMOUNT]]</f>
        <v>34661533.980000004</v>
      </c>
    </row>
    <row r="19" spans="1:39" s="34" customFormat="1" ht="11.45" customHeight="1">
      <c r="A19" s="132" t="s">
        <v>291</v>
      </c>
      <c r="B19" s="132" t="s">
        <v>222</v>
      </c>
      <c r="C19" s="132" t="s">
        <v>94</v>
      </c>
      <c r="D19" s="132" t="s">
        <v>8</v>
      </c>
      <c r="E19" s="132" t="s">
        <v>292</v>
      </c>
      <c r="F19" s="59" t="s">
        <v>152</v>
      </c>
      <c r="G19" s="59" t="s">
        <v>227</v>
      </c>
      <c r="H19" s="59" t="s">
        <v>228</v>
      </c>
      <c r="I19" s="82"/>
      <c r="J19" s="82">
        <v>45953</v>
      </c>
      <c r="K19" s="82">
        <v>45958</v>
      </c>
      <c r="L19" s="82">
        <v>45959</v>
      </c>
      <c r="M19" s="63"/>
      <c r="N19" s="63"/>
      <c r="O19" s="63"/>
      <c r="P19" s="63"/>
      <c r="Q19" s="63"/>
      <c r="R19" s="63"/>
      <c r="S19" s="63">
        <v>808559.76</v>
      </c>
      <c r="T19" s="63">
        <v>1777488.06</v>
      </c>
      <c r="U19" s="63"/>
      <c r="V19" s="63"/>
      <c r="W19" s="63"/>
      <c r="X19" s="63"/>
      <c r="Y19" s="63"/>
      <c r="Z19" s="63"/>
      <c r="AA19" s="86"/>
      <c r="AB19" s="86"/>
      <c r="AC19" s="57"/>
      <c r="AD19" s="57"/>
      <c r="AE19" s="57"/>
      <c r="AF19" s="57"/>
      <c r="AG19" s="57"/>
      <c r="AH19" s="57"/>
      <c r="AI19" s="57">
        <f>SUM(Table_Query_from_MS_Access_Database4[[#This Row],[HURF EX]:[CRP &gt;200]])</f>
        <v>2586047.8200000003</v>
      </c>
      <c r="AJ19" s="57">
        <f ca="1">IF(ISTEXT(INDIRECT(ADDRESS(ROW()-1,COLUMN()))), INDIRECT(ADDRESS(13,COLUMN())),INDIRECT(ADDRESS(ROW()-1,COLUMN())))-Table_Query_from_MS_Access_Database4[[#This Row],[TOTAL OF AMOUNT]]</f>
        <v>32075486.160000004</v>
      </c>
      <c r="AK19" s="36"/>
      <c r="AM19" s="36"/>
    </row>
    <row r="20" spans="1:39" ht="15.6" customHeight="1">
      <c r="A20" s="132" t="s">
        <v>293</v>
      </c>
      <c r="B20" s="132"/>
      <c r="C20" s="132" t="s">
        <v>94</v>
      </c>
      <c r="D20" s="132" t="s">
        <v>21</v>
      </c>
      <c r="E20" s="132" t="s">
        <v>294</v>
      </c>
      <c r="F20" s="59" t="s">
        <v>152</v>
      </c>
      <c r="G20" s="59" t="s">
        <v>273</v>
      </c>
      <c r="H20" s="59" t="s">
        <v>228</v>
      </c>
      <c r="I20" s="82">
        <v>45958</v>
      </c>
      <c r="J20" s="82">
        <v>45958</v>
      </c>
      <c r="K20" s="82">
        <v>45960</v>
      </c>
      <c r="L20" s="82">
        <v>45961</v>
      </c>
      <c r="M20" s="63"/>
      <c r="N20" s="63"/>
      <c r="O20" s="63"/>
      <c r="P20" s="63">
        <v>33757</v>
      </c>
      <c r="Q20" s="63"/>
      <c r="R20" s="63"/>
      <c r="S20" s="63"/>
      <c r="T20" s="63"/>
      <c r="U20" s="63"/>
      <c r="V20" s="63"/>
      <c r="W20" s="63"/>
      <c r="X20" s="63"/>
      <c r="Y20" s="63"/>
      <c r="Z20" s="63"/>
      <c r="AA20" s="86"/>
      <c r="AB20" s="86"/>
      <c r="AC20" s="57"/>
      <c r="AD20" s="57"/>
      <c r="AE20" s="57"/>
      <c r="AF20" s="57"/>
      <c r="AG20" s="57"/>
      <c r="AH20" s="57"/>
      <c r="AI20" s="57">
        <f>SUM(Table_Query_from_MS_Access_Database4[[#This Row],[HURF EX]:[CRP &gt;200]])</f>
        <v>33757</v>
      </c>
      <c r="AJ20" s="57">
        <f ca="1">IF(ISTEXT(INDIRECT(ADDRESS(ROW()-1,COLUMN()))), INDIRECT(ADDRESS(13,COLUMN())),INDIRECT(ADDRESS(ROW()-1,COLUMN())))-Table_Query_from_MS_Access_Database4[[#This Row],[TOTAL OF AMOUNT]]</f>
        <v>32041729.160000004</v>
      </c>
    </row>
    <row r="21" spans="1:39" ht="16.5" customHeight="1">
      <c r="A21" s="132" t="s">
        <v>258</v>
      </c>
      <c r="B21" s="132" t="s">
        <v>222</v>
      </c>
      <c r="C21" s="132" t="s">
        <v>94</v>
      </c>
      <c r="D21" s="132" t="s">
        <v>21</v>
      </c>
      <c r="E21" s="132" t="s">
        <v>259</v>
      </c>
      <c r="F21" s="59" t="s">
        <v>152</v>
      </c>
      <c r="G21" s="59" t="s">
        <v>273</v>
      </c>
      <c r="H21" s="59" t="s">
        <v>228</v>
      </c>
      <c r="I21" s="82">
        <v>45958</v>
      </c>
      <c r="J21" s="82">
        <v>45958</v>
      </c>
      <c r="K21" s="82">
        <v>45960</v>
      </c>
      <c r="L21" s="82">
        <v>45961</v>
      </c>
      <c r="M21" s="63"/>
      <c r="N21" s="63"/>
      <c r="O21" s="63">
        <v>1316549</v>
      </c>
      <c r="P21" s="63"/>
      <c r="Q21" s="63"/>
      <c r="R21" s="63"/>
      <c r="S21" s="63"/>
      <c r="T21" s="63"/>
      <c r="U21" s="63"/>
      <c r="V21" s="63"/>
      <c r="W21" s="63"/>
      <c r="X21" s="63"/>
      <c r="Y21" s="63"/>
      <c r="Z21" s="63"/>
      <c r="AA21" s="86"/>
      <c r="AB21" s="86"/>
      <c r="AC21" s="57"/>
      <c r="AD21" s="57"/>
      <c r="AE21" s="57"/>
      <c r="AF21" s="57"/>
      <c r="AG21" s="57"/>
      <c r="AH21" s="57"/>
      <c r="AI21" s="57">
        <f>SUM(Table_Query_from_MS_Access_Database4[[#This Row],[HURF EX]:[CRP &gt;200]])</f>
        <v>1316549</v>
      </c>
      <c r="AJ21" s="57">
        <f ca="1">IF(ISTEXT(INDIRECT(ADDRESS(ROW()-1,COLUMN()))), INDIRECT(ADDRESS(13,COLUMN())),INDIRECT(ADDRESS(ROW()-1,COLUMN())))-Table_Query_from_MS_Access_Database4[[#This Row],[TOTAL OF AMOUNT]]</f>
        <v>30725180.160000004</v>
      </c>
    </row>
    <row r="22" spans="1:39" ht="16.149999999999999" customHeight="1">
      <c r="A22" s="132" t="s">
        <v>311</v>
      </c>
      <c r="B22" s="132" t="s">
        <v>312</v>
      </c>
      <c r="C22" s="132" t="s">
        <v>216</v>
      </c>
      <c r="D22" s="132" t="s">
        <v>9</v>
      </c>
      <c r="E22" s="132" t="s">
        <v>313</v>
      </c>
      <c r="F22" s="59" t="s">
        <v>217</v>
      </c>
      <c r="G22" s="59" t="s">
        <v>218</v>
      </c>
      <c r="H22" s="59" t="s">
        <v>314</v>
      </c>
      <c r="I22" s="82"/>
      <c r="J22" s="82">
        <v>45961</v>
      </c>
      <c r="K22" s="82">
        <v>45961</v>
      </c>
      <c r="L22" s="82">
        <v>45965</v>
      </c>
      <c r="M22" s="63"/>
      <c r="N22" s="63">
        <v>-35051.620000000003</v>
      </c>
      <c r="O22" s="63"/>
      <c r="P22" s="63"/>
      <c r="Q22" s="63"/>
      <c r="R22" s="63"/>
      <c r="S22" s="63"/>
      <c r="T22" s="63"/>
      <c r="U22" s="63"/>
      <c r="V22" s="63"/>
      <c r="W22" s="63"/>
      <c r="X22" s="63"/>
      <c r="Y22" s="63"/>
      <c r="Z22" s="63"/>
      <c r="AA22" s="86"/>
      <c r="AB22" s="86"/>
      <c r="AC22" s="57"/>
      <c r="AD22" s="57"/>
      <c r="AE22" s="57"/>
      <c r="AF22" s="57"/>
      <c r="AG22" s="57"/>
      <c r="AH22" s="57"/>
      <c r="AI22" s="57">
        <f>SUM(Table_Query_from_MS_Access_Database4[[#This Row],[HURF EX]:[CRP &gt;200]])</f>
        <v>-35051.620000000003</v>
      </c>
      <c r="AJ22" s="57">
        <f ca="1">IF(ISTEXT(INDIRECT(ADDRESS(ROW()-1,COLUMN()))), INDIRECT(ADDRESS(13,COLUMN())),INDIRECT(ADDRESS(ROW()-1,COLUMN())))-Table_Query_from_MS_Access_Database4[[#This Row],[TOTAL OF AMOUNT]]</f>
        <v>30760231.780000005</v>
      </c>
    </row>
    <row r="23" spans="1:39" ht="16.5" hidden="1" customHeight="1">
      <c r="A23" s="132"/>
      <c r="B23" s="132"/>
      <c r="C23" s="132"/>
      <c r="D23" s="132"/>
      <c r="E23" s="132"/>
      <c r="F23" s="59"/>
      <c r="G23" s="59"/>
      <c r="H23" s="59"/>
      <c r="I23" s="82"/>
      <c r="J23" s="82"/>
      <c r="K23" s="82"/>
      <c r="L23" s="82"/>
      <c r="M23" s="63"/>
      <c r="N23" s="63"/>
      <c r="O23" s="63"/>
      <c r="P23" s="63"/>
      <c r="Q23" s="63"/>
      <c r="R23" s="63"/>
      <c r="S23" s="63"/>
      <c r="T23" s="63"/>
      <c r="U23" s="63"/>
      <c r="V23" s="63"/>
      <c r="W23" s="63"/>
      <c r="X23" s="63"/>
      <c r="Y23" s="63"/>
      <c r="Z23" s="63"/>
      <c r="AA23" s="86"/>
      <c r="AB23" s="86"/>
      <c r="AC23" s="57"/>
      <c r="AD23" s="57"/>
      <c r="AE23" s="57"/>
      <c r="AF23" s="57"/>
      <c r="AG23" s="57"/>
      <c r="AH23" s="57"/>
      <c r="AI23" s="152"/>
      <c r="AJ23" s="152"/>
    </row>
    <row r="24" spans="1:39" ht="16.5" hidden="1" customHeight="1">
      <c r="A24" s="132"/>
      <c r="B24" s="132"/>
      <c r="C24" s="132"/>
      <c r="D24" s="132"/>
      <c r="E24" s="132"/>
      <c r="F24" s="59"/>
      <c r="G24" s="59"/>
      <c r="H24" s="59"/>
      <c r="I24" s="82"/>
      <c r="J24" s="82"/>
      <c r="K24" s="82"/>
      <c r="L24" s="82"/>
      <c r="M24" s="63"/>
      <c r="N24" s="63"/>
      <c r="O24" s="63"/>
      <c r="P24" s="63"/>
      <c r="Q24" s="63"/>
      <c r="R24" s="63"/>
      <c r="S24" s="63"/>
      <c r="T24" s="63"/>
      <c r="U24" s="63"/>
      <c r="V24" s="63"/>
      <c r="W24" s="63"/>
      <c r="X24" s="63"/>
      <c r="Y24" s="63"/>
      <c r="Z24" s="63"/>
      <c r="AA24" s="86"/>
      <c r="AB24" s="86"/>
      <c r="AC24" s="57"/>
      <c r="AD24" s="57"/>
      <c r="AE24" s="57"/>
      <c r="AF24" s="57"/>
      <c r="AG24" s="57"/>
      <c r="AH24" s="57"/>
      <c r="AI24" s="152"/>
      <c r="AJ24" s="152"/>
    </row>
    <row r="25" spans="1:39" ht="15.6" hidden="1" customHeight="1">
      <c r="A25" s="132"/>
      <c r="B25" s="132"/>
      <c r="C25" s="132"/>
      <c r="D25" s="132"/>
      <c r="E25" s="132"/>
      <c r="F25" s="59"/>
      <c r="G25" s="59"/>
      <c r="H25" s="59"/>
      <c r="I25" s="82"/>
      <c r="J25" s="82"/>
      <c r="K25" s="82"/>
      <c r="L25" s="82"/>
      <c r="M25" s="63"/>
      <c r="N25" s="63"/>
      <c r="O25" s="63"/>
      <c r="P25" s="63"/>
      <c r="Q25" s="63"/>
      <c r="R25" s="63"/>
      <c r="S25" s="63"/>
      <c r="T25" s="63"/>
      <c r="U25" s="63"/>
      <c r="V25" s="63"/>
      <c r="W25" s="63"/>
      <c r="X25" s="63"/>
      <c r="Y25" s="63"/>
      <c r="Z25" s="63"/>
      <c r="AA25" s="86"/>
      <c r="AB25" s="86"/>
      <c r="AC25" s="57"/>
      <c r="AD25" s="57"/>
      <c r="AE25" s="57"/>
      <c r="AF25" s="57"/>
      <c r="AG25" s="57"/>
      <c r="AH25" s="57"/>
      <c r="AI25" s="152"/>
      <c r="AJ25" s="152"/>
    </row>
    <row r="26" spans="1:39" ht="16.5" hidden="1" customHeight="1">
      <c r="A26" s="132"/>
      <c r="B26" s="132"/>
      <c r="C26" s="132"/>
      <c r="D26" s="132"/>
      <c r="E26" s="132"/>
      <c r="F26" s="59"/>
      <c r="G26" s="59"/>
      <c r="H26" s="59"/>
      <c r="I26" s="82"/>
      <c r="J26" s="82"/>
      <c r="K26" s="82"/>
      <c r="L26" s="82"/>
      <c r="M26" s="63"/>
      <c r="N26" s="63"/>
      <c r="O26" s="63"/>
      <c r="P26" s="63"/>
      <c r="Q26" s="63"/>
      <c r="R26" s="63"/>
      <c r="S26" s="63"/>
      <c r="T26" s="63"/>
      <c r="U26" s="63"/>
      <c r="V26" s="63"/>
      <c r="W26" s="63"/>
      <c r="X26" s="63"/>
      <c r="Y26" s="63"/>
      <c r="Z26" s="63"/>
      <c r="AA26" s="86"/>
      <c r="AB26" s="86"/>
      <c r="AC26" s="57"/>
      <c r="AD26" s="57"/>
      <c r="AE26" s="57"/>
      <c r="AF26" s="57"/>
      <c r="AG26" s="57"/>
      <c r="AH26" s="57"/>
      <c r="AI26" s="152"/>
      <c r="AJ26" s="152"/>
    </row>
    <row r="27" spans="1:39" ht="15.6" hidden="1" customHeight="1">
      <c r="A27" s="132"/>
      <c r="B27" s="132"/>
      <c r="C27" s="132"/>
      <c r="D27" s="132"/>
      <c r="E27" s="132"/>
      <c r="F27" s="59"/>
      <c r="G27" s="59"/>
      <c r="H27" s="59"/>
      <c r="I27" s="82"/>
      <c r="J27" s="82"/>
      <c r="K27" s="82"/>
      <c r="L27" s="82"/>
      <c r="M27" s="63"/>
      <c r="N27" s="63"/>
      <c r="O27" s="63"/>
      <c r="P27" s="63"/>
      <c r="Q27" s="63"/>
      <c r="R27" s="63"/>
      <c r="S27" s="63"/>
      <c r="T27" s="63"/>
      <c r="U27" s="63"/>
      <c r="V27" s="63"/>
      <c r="W27" s="63"/>
      <c r="X27" s="63"/>
      <c r="Y27" s="63"/>
      <c r="Z27" s="63"/>
      <c r="AA27" s="86"/>
      <c r="AB27" s="86"/>
      <c r="AC27" s="57"/>
      <c r="AD27" s="57"/>
      <c r="AE27" s="57"/>
      <c r="AF27" s="57"/>
      <c r="AG27" s="57"/>
      <c r="AH27" s="57"/>
      <c r="AI27" s="152"/>
      <c r="AJ27" s="152"/>
    </row>
    <row r="28" spans="1:39" ht="15.6" hidden="1" customHeight="1">
      <c r="A28" s="132"/>
      <c r="B28" s="132"/>
      <c r="C28" s="132"/>
      <c r="D28" s="132"/>
      <c r="E28" s="132"/>
      <c r="F28" s="59"/>
      <c r="G28" s="59"/>
      <c r="H28" s="59"/>
      <c r="I28" s="82"/>
      <c r="J28" s="82"/>
      <c r="K28" s="82"/>
      <c r="L28" s="82"/>
      <c r="M28" s="63"/>
      <c r="N28" s="63"/>
      <c r="O28" s="63"/>
      <c r="P28" s="63"/>
      <c r="Q28" s="63"/>
      <c r="R28" s="63"/>
      <c r="S28" s="63"/>
      <c r="T28" s="63"/>
      <c r="U28" s="63"/>
      <c r="V28" s="63"/>
      <c r="W28" s="63"/>
      <c r="X28" s="63"/>
      <c r="Y28" s="63"/>
      <c r="Z28" s="63"/>
      <c r="AA28" s="86"/>
      <c r="AB28" s="86"/>
      <c r="AC28" s="57"/>
      <c r="AD28" s="57"/>
      <c r="AE28" s="57"/>
      <c r="AF28" s="57"/>
      <c r="AG28" s="57"/>
      <c r="AH28" s="57"/>
      <c r="AI28" s="57"/>
      <c r="AJ28" s="57"/>
    </row>
    <row r="29" spans="1:39" ht="27" customHeight="1">
      <c r="A29" s="152"/>
      <c r="B29" s="152"/>
      <c r="C29" s="132"/>
      <c r="D29" s="132"/>
      <c r="E29" s="152"/>
      <c r="F29" s="152"/>
      <c r="G29" s="152"/>
      <c r="H29" s="152"/>
      <c r="I29" s="87"/>
      <c r="J29" s="148"/>
      <c r="K29" s="148"/>
      <c r="L29" s="62" t="s">
        <v>186</v>
      </c>
      <c r="M29" s="180">
        <f>SUM(Table_Query_from_MS_Access_Database4[HURF EX])</f>
        <v>0</v>
      </c>
      <c r="N29" s="180">
        <f>SUM(Table_Query_from_MS_Access_Database4[HSIP])</f>
        <v>-35051.620000000003</v>
      </c>
      <c r="O29" s="180">
        <f>SUM(Table_Query_from_MS_Access_Database4[PL])</f>
        <v>1316549</v>
      </c>
      <c r="P29" s="180">
        <f>SUM(Table_Query_from_MS_Access_Database4[PL-SATO])</f>
        <v>33757</v>
      </c>
      <c r="Q29" s="180">
        <f>SUM(Table_Query_from_MS_Access_Database4[SPR])</f>
        <v>0</v>
      </c>
      <c r="R29" s="180">
        <f>SUM(Table_Query_from_MS_Access_Database4[STP &lt;5])</f>
        <v>0</v>
      </c>
      <c r="S29" s="180">
        <f>SUM(Table_Query_from_MS_Access_Database4[STP 5-200])</f>
        <v>0</v>
      </c>
      <c r="T29" s="180">
        <f>SUM(Table_Query_from_MS_Access_Database4[STP 5-50])</f>
        <v>0</v>
      </c>
      <c r="U29" s="180">
        <f>SUM(Table_Query_from_MS_Access_Database4[STP 50-200])</f>
        <v>0</v>
      </c>
      <c r="V29" s="180">
        <f>SUM(Table_Query_from_MS_Access_Database4[STP OVER 200K])</f>
        <v>0</v>
      </c>
      <c r="W29" s="180">
        <f>SUM(Table_Query_from_MS_Access_Database4[STP OTHER])</f>
        <v>0</v>
      </c>
      <c r="X29" s="180">
        <f>SUM(Table_Query_from_MS_Access_Database4[HIP &gt;200])</f>
        <v>0</v>
      </c>
      <c r="Y29" s="180">
        <f>SUM(Table_Query_from_MS_Access_Database4[TAP &lt;5])</f>
        <v>0</v>
      </c>
      <c r="Z29" s="180">
        <f>SUM(Table_Query_from_MS_Access_Database4[TAP 5-2])</f>
        <v>0</v>
      </c>
      <c r="AA29" s="180">
        <f>SUM(Table_Query_from_MS_Access_Database4[TAP 5-50])</f>
        <v>0</v>
      </c>
      <c r="AB29" s="180">
        <f>SUM(Table_Query_from_MS_Access_Database4[TAP 50-200])</f>
        <v>0</v>
      </c>
      <c r="AC29" s="180">
        <f>SUM(Table_Query_from_MS_Access_Database4[TAP &gt;200])</f>
        <v>-120988.18</v>
      </c>
      <c r="AD29" s="180">
        <f>SUM(Table_Query_from_MS_Access_Database4[TAP Other])</f>
        <v>0</v>
      </c>
      <c r="AE29" s="180">
        <f>SUM(Table_Query_from_MS_Access_Database4[CRP &lt;5])</f>
        <v>0</v>
      </c>
      <c r="AF29" s="180">
        <f>SUM(Table_Query_from_MS_Access_Database4[CRP 5-50])</f>
        <v>0</v>
      </c>
      <c r="AG29" s="180">
        <f>SUM(Table_Query_from_MS_Access_Database4[CRP 50-200])</f>
        <v>0</v>
      </c>
      <c r="AH29" s="180">
        <f>SUM(Table_Query_from_MS_Access_Database4[CRP &gt;200])</f>
        <v>0</v>
      </c>
      <c r="AI29" s="180">
        <f>SUM(Table_Query_from_MS_Access_Database4[TOTAL OF AMOUNT])</f>
        <v>1194266.1999999997</v>
      </c>
      <c r="AJ29" s="152"/>
    </row>
    <row r="30" spans="1:39">
      <c r="A30" s="71"/>
      <c r="B30" s="71"/>
      <c r="C30" s="71"/>
      <c r="D30" s="52"/>
      <c r="E30" s="52"/>
      <c r="F30" s="34"/>
      <c r="G30" s="34"/>
      <c r="H30" s="34"/>
      <c r="I30" s="34"/>
      <c r="J30" s="56"/>
      <c r="K30" s="56"/>
      <c r="L30" s="62" t="s">
        <v>72</v>
      </c>
      <c r="M30" s="182">
        <f t="shared" ref="M30:AI30" si="2">+M13-M29</f>
        <v>0</v>
      </c>
      <c r="N30" s="182">
        <f t="shared" si="2"/>
        <v>35051.620000000003</v>
      </c>
      <c r="O30" s="182">
        <f t="shared" si="2"/>
        <v>2</v>
      </c>
      <c r="P30" s="182">
        <f t="shared" si="2"/>
        <v>1</v>
      </c>
      <c r="Q30" s="182">
        <f t="shared" si="2"/>
        <v>350000</v>
      </c>
      <c r="R30" s="182">
        <f t="shared" si="2"/>
        <v>4108077</v>
      </c>
      <c r="S30" s="182">
        <f t="shared" si="2"/>
        <v>0</v>
      </c>
      <c r="T30" s="182">
        <f t="shared" si="2"/>
        <v>3910526</v>
      </c>
      <c r="U30" s="182">
        <f t="shared" si="2"/>
        <v>0</v>
      </c>
      <c r="V30" s="182">
        <f t="shared" si="2"/>
        <v>18221172.479999997</v>
      </c>
      <c r="W30" s="182">
        <f t="shared" si="2"/>
        <v>0</v>
      </c>
      <c r="X30" s="182">
        <f t="shared" si="2"/>
        <v>0</v>
      </c>
      <c r="Y30" s="182">
        <f t="shared" si="2"/>
        <v>198257</v>
      </c>
      <c r="Z30" s="182">
        <f t="shared" si="2"/>
        <v>0</v>
      </c>
      <c r="AA30" s="182">
        <f t="shared" si="2"/>
        <v>207503</v>
      </c>
      <c r="AB30" s="182">
        <f t="shared" si="2"/>
        <v>0</v>
      </c>
      <c r="AC30" s="182">
        <f t="shared" si="2"/>
        <v>8593429.1799999997</v>
      </c>
      <c r="AD30" s="182">
        <f t="shared" si="2"/>
        <v>0</v>
      </c>
      <c r="AE30" s="182">
        <f t="shared" si="2"/>
        <v>182061</v>
      </c>
      <c r="AF30" s="182">
        <f t="shared" si="2"/>
        <v>190552</v>
      </c>
      <c r="AG30" s="182">
        <f t="shared" si="2"/>
        <v>0</v>
      </c>
      <c r="AH30" s="182">
        <f t="shared" si="2"/>
        <v>3712985</v>
      </c>
      <c r="AI30" s="182">
        <f t="shared" si="2"/>
        <v>39709617.280000001</v>
      </c>
      <c r="AJ30" s="34"/>
    </row>
    <row r="31" spans="1:39" ht="27" customHeight="1">
      <c r="A31" s="55"/>
      <c r="B31" s="55"/>
      <c r="C31" s="55"/>
      <c r="D31" s="52"/>
      <c r="E31" s="52"/>
      <c r="F31" s="34"/>
      <c r="G31" s="34"/>
      <c r="H31" s="34"/>
      <c r="I31" s="34"/>
      <c r="J31" s="56"/>
      <c r="K31" s="56"/>
      <c r="L31" s="56"/>
      <c r="M31" s="56"/>
      <c r="N31" s="57"/>
      <c r="O31" s="57"/>
      <c r="P31" s="57"/>
      <c r="Q31" s="57"/>
      <c r="R31" s="57"/>
      <c r="S31" s="57"/>
      <c r="T31" s="57"/>
      <c r="U31" s="57"/>
      <c r="V31" s="36"/>
      <c r="W31" s="35"/>
      <c r="X31" s="35"/>
    </row>
    <row r="32" spans="1:39" ht="15.75">
      <c r="A32" s="210" t="s">
        <v>33</v>
      </c>
      <c r="B32" s="210"/>
      <c r="C32" s="210"/>
      <c r="D32" s="210"/>
      <c r="E32" s="52"/>
      <c r="F32" s="58"/>
      <c r="G32" s="58"/>
      <c r="H32" s="58"/>
      <c r="I32" s="34"/>
      <c r="J32" s="56"/>
      <c r="K32" s="56"/>
      <c r="L32" s="56"/>
      <c r="M32" s="56"/>
      <c r="N32" s="57"/>
      <c r="O32" s="57"/>
      <c r="P32" s="57"/>
      <c r="Q32" s="57"/>
      <c r="R32" s="57"/>
      <c r="S32" s="57"/>
      <c r="T32" s="57"/>
      <c r="U32" s="57"/>
      <c r="V32" s="36"/>
      <c r="W32" s="53"/>
      <c r="X32" s="53"/>
      <c r="Y32" s="35"/>
      <c r="Z32" s="35"/>
      <c r="AA32" s="35"/>
      <c r="AB32" s="35"/>
    </row>
    <row r="33" spans="1:38" ht="27" customHeight="1">
      <c r="A33" s="59" t="s">
        <v>1</v>
      </c>
      <c r="B33" s="59" t="s">
        <v>0</v>
      </c>
      <c r="C33" s="59" t="s">
        <v>3</v>
      </c>
      <c r="D33" s="59" t="s">
        <v>79</v>
      </c>
      <c r="E33" s="59" t="s">
        <v>2</v>
      </c>
      <c r="F33" s="59" t="s">
        <v>44</v>
      </c>
      <c r="G33" s="59" t="s">
        <v>45</v>
      </c>
      <c r="H33" s="59" t="s">
        <v>46</v>
      </c>
      <c r="I33" s="59" t="s">
        <v>47</v>
      </c>
      <c r="J33" s="59" t="s">
        <v>48</v>
      </c>
      <c r="K33" s="59" t="s">
        <v>49</v>
      </c>
      <c r="L33" s="59" t="s">
        <v>50</v>
      </c>
      <c r="M33" s="59" t="s">
        <v>133</v>
      </c>
      <c r="N33" s="59" t="s">
        <v>4</v>
      </c>
      <c r="O33" s="59" t="s">
        <v>40</v>
      </c>
      <c r="P33" s="59" t="s">
        <v>175</v>
      </c>
      <c r="Q33" s="59" t="s">
        <v>5</v>
      </c>
      <c r="R33" s="59" t="s">
        <v>124</v>
      </c>
      <c r="S33" s="59" t="s">
        <v>137</v>
      </c>
      <c r="T33" s="59" t="s">
        <v>176</v>
      </c>
      <c r="U33" s="59" t="s">
        <v>177</v>
      </c>
      <c r="V33" s="59" t="s">
        <v>87</v>
      </c>
      <c r="W33" s="59" t="s">
        <v>51</v>
      </c>
      <c r="X33" s="59" t="s">
        <v>139</v>
      </c>
      <c r="Y33" s="59" t="s">
        <v>121</v>
      </c>
      <c r="Z33" s="59" t="s">
        <v>122</v>
      </c>
      <c r="AA33" s="59" t="s">
        <v>178</v>
      </c>
      <c r="AB33" s="59" t="s">
        <v>179</v>
      </c>
      <c r="AC33" s="153" t="s">
        <v>126</v>
      </c>
      <c r="AD33" s="153" t="s">
        <v>123</v>
      </c>
      <c r="AE33" s="153" t="s">
        <v>180</v>
      </c>
      <c r="AF33" s="153" t="s">
        <v>181</v>
      </c>
      <c r="AG33" s="153" t="s">
        <v>182</v>
      </c>
      <c r="AH33" s="153" t="s">
        <v>183</v>
      </c>
      <c r="AI33" s="59" t="s">
        <v>81</v>
      </c>
      <c r="AJ33" s="59" t="s">
        <v>52</v>
      </c>
    </row>
    <row r="34" spans="1:38" ht="26.45" customHeight="1">
      <c r="A34" s="76" t="s">
        <v>269</v>
      </c>
      <c r="B34" s="34" t="s">
        <v>270</v>
      </c>
      <c r="C34" s="76" t="s">
        <v>216</v>
      </c>
      <c r="D34" s="76" t="s">
        <v>271</v>
      </c>
      <c r="E34" s="34" t="s">
        <v>272</v>
      </c>
      <c r="F34" s="58" t="s">
        <v>217</v>
      </c>
      <c r="G34" s="58" t="s">
        <v>218</v>
      </c>
      <c r="H34" s="58" t="s">
        <v>219</v>
      </c>
      <c r="I34" s="82">
        <v>46023</v>
      </c>
      <c r="J34" s="82"/>
      <c r="K34" s="82"/>
      <c r="L34" s="82"/>
      <c r="M34" s="95"/>
      <c r="N34" s="95"/>
      <c r="O34" s="95"/>
      <c r="P34" s="95"/>
      <c r="Q34" s="63"/>
      <c r="R34" s="63"/>
      <c r="S34" s="63"/>
      <c r="T34" s="63"/>
      <c r="U34" s="63"/>
      <c r="V34" s="63">
        <v>13911000</v>
      </c>
      <c r="W34" s="63"/>
      <c r="X34" s="63"/>
      <c r="Y34" s="63"/>
      <c r="Z34" s="63"/>
      <c r="AA34" s="86"/>
      <c r="AB34" s="63"/>
      <c r="AC34" s="152"/>
      <c r="AD34" s="152"/>
      <c r="AE34" s="152"/>
      <c r="AF34" s="152"/>
      <c r="AG34" s="152"/>
      <c r="AH34" s="152"/>
      <c r="AI34" s="57">
        <f>SUM(Table_Query_from_MS_Access_Database_1[[#This Row],[HURF EX]:[CRP &gt;200]])</f>
        <v>13911000</v>
      </c>
      <c r="AJ34" s="57">
        <f ca="1">IF(ISTEXT(INDIRECT(ADDRESS(ROW()-1,COLUMN()))),$AJ$13-(SUM(Table_Query_from_MS_Access_Database4[TOTAL OF AMOUNT])),INDIRECT(ADDRESS(ROW()-1,COLUMN())))-Table_Query_from_MS_Access_Database_1[[#This Row],[TOTAL OF AMOUNT]]</f>
        <v>16849231.780000001</v>
      </c>
      <c r="AL34" s="26"/>
    </row>
    <row r="35" spans="1:38" ht="16.5" customHeight="1">
      <c r="A35" s="63" t="s">
        <v>291</v>
      </c>
      <c r="B35" s="36" t="s">
        <v>222</v>
      </c>
      <c r="C35" s="63" t="s">
        <v>94</v>
      </c>
      <c r="D35" s="63" t="s">
        <v>8</v>
      </c>
      <c r="E35" s="36" t="s">
        <v>292</v>
      </c>
      <c r="F35" s="59" t="s">
        <v>152</v>
      </c>
      <c r="G35" s="59" t="s">
        <v>227</v>
      </c>
      <c r="H35" s="59" t="s">
        <v>228</v>
      </c>
      <c r="I35" s="82">
        <v>46023</v>
      </c>
      <c r="J35" s="82"/>
      <c r="K35" s="82"/>
      <c r="L35" s="82"/>
      <c r="M35" s="63"/>
      <c r="N35" s="63"/>
      <c r="O35" s="63"/>
      <c r="P35" s="63"/>
      <c r="Q35" s="63"/>
      <c r="R35" s="63">
        <v>2069414</v>
      </c>
      <c r="S35" s="63"/>
      <c r="T35" s="63">
        <v>1576607.38</v>
      </c>
      <c r="U35" s="63"/>
      <c r="V35" s="63"/>
      <c r="W35" s="63"/>
      <c r="X35" s="63"/>
      <c r="Y35" s="63"/>
      <c r="Z35" s="63"/>
      <c r="AA35" s="86"/>
      <c r="AB35" s="63"/>
      <c r="AC35" s="57"/>
      <c r="AD35" s="57"/>
      <c r="AE35" s="57"/>
      <c r="AF35" s="57"/>
      <c r="AG35" s="57"/>
      <c r="AH35" s="57"/>
      <c r="AI35" s="57">
        <f>SUM(Table_Query_from_MS_Access_Database_1[[#This Row],[HURF EX]:[CRP &gt;200]])</f>
        <v>3646021.38</v>
      </c>
      <c r="AJ35" s="57">
        <f ca="1">IF(ISTEXT(INDIRECT(ADDRESS(ROW()-1,COLUMN()))),$AJ$13-(SUM(Table_Query_from_MS_Access_Database4[TOTAL OF AMOUNT])),INDIRECT(ADDRESS(ROW()-1,COLUMN())))-Table_Query_from_MS_Access_Database_1[[#This Row],[TOTAL OF AMOUNT]]</f>
        <v>13203210.400000002</v>
      </c>
    </row>
    <row r="36" spans="1:38">
      <c r="A36" s="63" t="s">
        <v>300</v>
      </c>
      <c r="B36" s="36" t="s">
        <v>301</v>
      </c>
      <c r="C36" s="63" t="s">
        <v>257</v>
      </c>
      <c r="D36" s="63" t="s">
        <v>7</v>
      </c>
      <c r="E36" s="36" t="s">
        <v>302</v>
      </c>
      <c r="F36" s="59" t="s">
        <v>217</v>
      </c>
      <c r="G36" s="59" t="s">
        <v>218</v>
      </c>
      <c r="H36" s="59" t="s">
        <v>303</v>
      </c>
      <c r="I36" s="82">
        <v>46023</v>
      </c>
      <c r="J36" s="82"/>
      <c r="K36" s="82"/>
      <c r="L36" s="82"/>
      <c r="M36" s="63"/>
      <c r="N36" s="63"/>
      <c r="O36" s="63"/>
      <c r="P36" s="63"/>
      <c r="Q36" s="63"/>
      <c r="R36" s="63"/>
      <c r="S36" s="63"/>
      <c r="T36" s="63"/>
      <c r="U36" s="63"/>
      <c r="V36" s="63">
        <v>2045000</v>
      </c>
      <c r="W36" s="63"/>
      <c r="X36" s="63"/>
      <c r="Y36" s="63"/>
      <c r="Z36" s="63"/>
      <c r="AA36" s="86"/>
      <c r="AB36" s="63"/>
      <c r="AC36" s="57"/>
      <c r="AD36" s="57"/>
      <c r="AE36" s="57"/>
      <c r="AF36" s="57"/>
      <c r="AG36" s="57"/>
      <c r="AH36" s="57"/>
      <c r="AI36" s="57">
        <f>SUM(Table_Query_from_MS_Access_Database_1[[#This Row],[HURF EX]:[CRP &gt;200]])</f>
        <v>2045000</v>
      </c>
      <c r="AJ36" s="57">
        <f ca="1">IF(ISTEXT(INDIRECT(ADDRESS(ROW()-1,COLUMN()))),$AJ$13-(SUM(Table_Query_from_MS_Access_Database4[TOTAL OF AMOUNT])),INDIRECT(ADDRESS(ROW()-1,COLUMN())))-Table_Query_from_MS_Access_Database_1[[#This Row],[TOTAL OF AMOUNT]]</f>
        <v>11158210.400000002</v>
      </c>
    </row>
    <row r="37" spans="1:38" ht="30.75" customHeight="1">
      <c r="A37" s="63" t="s">
        <v>286</v>
      </c>
      <c r="B37" s="36" t="s">
        <v>287</v>
      </c>
      <c r="C37" s="63" t="s">
        <v>216</v>
      </c>
      <c r="D37" s="63" t="s">
        <v>7</v>
      </c>
      <c r="E37" s="36" t="s">
        <v>288</v>
      </c>
      <c r="F37" s="59" t="s">
        <v>221</v>
      </c>
      <c r="G37" s="59" t="s">
        <v>219</v>
      </c>
      <c r="H37" s="59" t="s">
        <v>219</v>
      </c>
      <c r="I37" s="82">
        <v>46023</v>
      </c>
      <c r="J37" s="82"/>
      <c r="K37" s="82"/>
      <c r="L37" s="82"/>
      <c r="M37" s="63"/>
      <c r="N37" s="63"/>
      <c r="O37" s="63"/>
      <c r="P37" s="63"/>
      <c r="Q37" s="63"/>
      <c r="R37" s="63"/>
      <c r="S37" s="63"/>
      <c r="T37" s="63"/>
      <c r="U37" s="63"/>
      <c r="V37" s="63"/>
      <c r="W37" s="63"/>
      <c r="X37" s="63"/>
      <c r="Y37" s="63"/>
      <c r="Z37" s="63"/>
      <c r="AA37" s="86"/>
      <c r="AB37" s="63"/>
      <c r="AC37" s="57">
        <v>2007000</v>
      </c>
      <c r="AD37" s="57"/>
      <c r="AE37" s="57"/>
      <c r="AF37" s="57"/>
      <c r="AG37" s="57"/>
      <c r="AH37" s="57"/>
      <c r="AI37" s="57">
        <f>SUM(Table_Query_from_MS_Access_Database_1[[#This Row],[HURF EX]:[CRP &gt;200]])</f>
        <v>2007000</v>
      </c>
      <c r="AJ37" s="57">
        <f ca="1">IF(ISTEXT(INDIRECT(ADDRESS(ROW()-1,COLUMN()))),$AJ$13-(SUM(Table_Query_from_MS_Access_Database4[TOTAL OF AMOUNT])),INDIRECT(ADDRESS(ROW()-1,COLUMN())))-Table_Query_from_MS_Access_Database_1[[#This Row],[TOTAL OF AMOUNT]]</f>
        <v>9151210.4000000022</v>
      </c>
    </row>
    <row r="38" spans="1:38" ht="15.6" customHeight="1">
      <c r="A38" s="63" t="s">
        <v>260</v>
      </c>
      <c r="B38" s="36" t="s">
        <v>261</v>
      </c>
      <c r="C38" s="63" t="s">
        <v>216</v>
      </c>
      <c r="D38" s="63" t="s">
        <v>7</v>
      </c>
      <c r="E38" s="36" t="s">
        <v>262</v>
      </c>
      <c r="F38" s="59" t="s">
        <v>217</v>
      </c>
      <c r="G38" s="59" t="s">
        <v>218</v>
      </c>
      <c r="H38" s="59" t="s">
        <v>263</v>
      </c>
      <c r="I38" s="82">
        <v>46023</v>
      </c>
      <c r="J38" s="82"/>
      <c r="K38" s="82"/>
      <c r="L38" s="82"/>
      <c r="M38" s="63"/>
      <c r="N38" s="63"/>
      <c r="O38" s="63"/>
      <c r="P38" s="63"/>
      <c r="Q38" s="63"/>
      <c r="R38" s="63"/>
      <c r="S38" s="63"/>
      <c r="T38" s="63"/>
      <c r="U38" s="63"/>
      <c r="V38" s="63"/>
      <c r="W38" s="63"/>
      <c r="X38" s="63"/>
      <c r="Y38" s="63"/>
      <c r="Z38" s="63"/>
      <c r="AA38" s="86"/>
      <c r="AB38" s="63"/>
      <c r="AC38" s="57">
        <v>1725000</v>
      </c>
      <c r="AD38" s="57"/>
      <c r="AE38" s="57"/>
      <c r="AF38" s="57"/>
      <c r="AG38" s="57"/>
      <c r="AH38" s="57"/>
      <c r="AI38" s="57">
        <f>SUM(Table_Query_from_MS_Access_Database_1[[#This Row],[HURF EX]:[CRP &gt;200]])</f>
        <v>1725000</v>
      </c>
      <c r="AJ38" s="57">
        <f ca="1">IF(ISTEXT(INDIRECT(ADDRESS(ROW()-1,COLUMN()))),$AJ$13-(SUM(Table_Query_from_MS_Access_Database4[TOTAL OF AMOUNT])),INDIRECT(ADDRESS(ROW()-1,COLUMN())))-Table_Query_from_MS_Access_Database_1[[#This Row],[TOTAL OF AMOUNT]]</f>
        <v>7426210.4000000022</v>
      </c>
    </row>
    <row r="39" spans="1:38" ht="15.6" customHeight="1">
      <c r="A39" s="63" t="s">
        <v>278</v>
      </c>
      <c r="B39" s="36" t="s">
        <v>279</v>
      </c>
      <c r="C39" s="63" t="s">
        <v>280</v>
      </c>
      <c r="D39" s="63" t="s">
        <v>7</v>
      </c>
      <c r="E39" s="36" t="s">
        <v>281</v>
      </c>
      <c r="F39" s="59" t="s">
        <v>221</v>
      </c>
      <c r="G39" s="59" t="s">
        <v>219</v>
      </c>
      <c r="H39" s="59" t="s">
        <v>219</v>
      </c>
      <c r="I39" s="82">
        <v>46023</v>
      </c>
      <c r="J39" s="82"/>
      <c r="K39" s="82"/>
      <c r="L39" s="82"/>
      <c r="M39" s="63">
        <v>1314900</v>
      </c>
      <c r="N39" s="63"/>
      <c r="O39" s="63"/>
      <c r="P39" s="63"/>
      <c r="Q39" s="63"/>
      <c r="R39" s="63">
        <v>146100</v>
      </c>
      <c r="S39" s="63"/>
      <c r="T39" s="63"/>
      <c r="U39" s="63"/>
      <c r="V39" s="63"/>
      <c r="W39" s="63"/>
      <c r="X39" s="63"/>
      <c r="Y39" s="63"/>
      <c r="Z39" s="63"/>
      <c r="AA39" s="86"/>
      <c r="AB39" s="63"/>
      <c r="AC39" s="57"/>
      <c r="AD39" s="57"/>
      <c r="AE39" s="57"/>
      <c r="AF39" s="57"/>
      <c r="AG39" s="57"/>
      <c r="AH39" s="57"/>
      <c r="AI39" s="57">
        <f>SUM(Table_Query_from_MS_Access_Database_1[[#This Row],[HURF EX]:[CRP &gt;200]])</f>
        <v>1461000</v>
      </c>
      <c r="AJ39" s="57">
        <f ca="1">IF(ISTEXT(INDIRECT(ADDRESS(ROW()-1,COLUMN()))),$AJ$13-(SUM(Table_Query_from_MS_Access_Database4[TOTAL OF AMOUNT])),INDIRECT(ADDRESS(ROW()-1,COLUMN())))-Table_Query_from_MS_Access_Database_1[[#This Row],[TOTAL OF AMOUNT]]</f>
        <v>5965210.4000000022</v>
      </c>
    </row>
    <row r="40" spans="1:38" ht="15.6" customHeight="1">
      <c r="A40" s="63" t="s">
        <v>282</v>
      </c>
      <c r="B40" s="36" t="s">
        <v>283</v>
      </c>
      <c r="C40" s="63" t="s">
        <v>284</v>
      </c>
      <c r="D40" s="63" t="s">
        <v>7</v>
      </c>
      <c r="E40" s="36" t="s">
        <v>285</v>
      </c>
      <c r="F40" s="59" t="s">
        <v>221</v>
      </c>
      <c r="G40" s="59" t="s">
        <v>219</v>
      </c>
      <c r="H40" s="59" t="s">
        <v>219</v>
      </c>
      <c r="I40" s="82">
        <v>46023</v>
      </c>
      <c r="J40" s="82"/>
      <c r="K40" s="82"/>
      <c r="L40" s="82"/>
      <c r="M40" s="63"/>
      <c r="N40" s="63"/>
      <c r="O40" s="63"/>
      <c r="P40" s="63"/>
      <c r="Q40" s="63"/>
      <c r="R40" s="63"/>
      <c r="S40" s="63"/>
      <c r="T40" s="63">
        <v>1140000</v>
      </c>
      <c r="U40" s="63"/>
      <c r="V40" s="63"/>
      <c r="W40" s="63"/>
      <c r="X40" s="63"/>
      <c r="Y40" s="63"/>
      <c r="Z40" s="63"/>
      <c r="AA40" s="86"/>
      <c r="AB40" s="63"/>
      <c r="AC40" s="57"/>
      <c r="AD40" s="57"/>
      <c r="AE40" s="57"/>
      <c r="AF40" s="57"/>
      <c r="AG40" s="57"/>
      <c r="AH40" s="57"/>
      <c r="AI40" s="57">
        <f>SUM(Table_Query_from_MS_Access_Database_1[[#This Row],[HURF EX]:[CRP &gt;200]])</f>
        <v>1140000</v>
      </c>
      <c r="AJ40" s="57">
        <f ca="1">IF(ISTEXT(INDIRECT(ADDRESS(ROW()-1,COLUMN()))),$AJ$13-(SUM(Table_Query_from_MS_Access_Database4[TOTAL OF AMOUNT])),INDIRECT(ADDRESS(ROW()-1,COLUMN())))-Table_Query_from_MS_Access_Database_1[[#This Row],[TOTAL OF AMOUNT]]</f>
        <v>4825210.4000000022</v>
      </c>
    </row>
    <row r="41" spans="1:38" ht="15.6" customHeight="1">
      <c r="A41" s="63" t="s">
        <v>274</v>
      </c>
      <c r="B41" s="36" t="s">
        <v>275</v>
      </c>
      <c r="C41" s="63" t="s">
        <v>216</v>
      </c>
      <c r="D41" s="63" t="s">
        <v>7</v>
      </c>
      <c r="E41" s="36" t="s">
        <v>276</v>
      </c>
      <c r="F41" s="59" t="s">
        <v>217</v>
      </c>
      <c r="G41" s="59" t="s">
        <v>218</v>
      </c>
      <c r="H41" s="59" t="s">
        <v>277</v>
      </c>
      <c r="I41" s="82">
        <v>46023</v>
      </c>
      <c r="J41" s="82"/>
      <c r="K41" s="82"/>
      <c r="L41" s="82"/>
      <c r="M41" s="63"/>
      <c r="N41" s="63"/>
      <c r="O41" s="63"/>
      <c r="P41" s="63"/>
      <c r="Q41" s="63"/>
      <c r="R41" s="63"/>
      <c r="S41" s="63"/>
      <c r="T41" s="63"/>
      <c r="U41" s="63"/>
      <c r="V41" s="63"/>
      <c r="W41" s="63"/>
      <c r="X41" s="63"/>
      <c r="Y41" s="63"/>
      <c r="Z41" s="63"/>
      <c r="AA41" s="86"/>
      <c r="AB41" s="63"/>
      <c r="AC41" s="57">
        <v>529000</v>
      </c>
      <c r="AD41" s="57"/>
      <c r="AE41" s="57"/>
      <c r="AF41" s="57"/>
      <c r="AG41" s="57"/>
      <c r="AH41" s="57"/>
      <c r="AI41" s="57">
        <f>SUM(Table_Query_from_MS_Access_Database_1[[#This Row],[HURF EX]:[CRP &gt;200]])</f>
        <v>529000</v>
      </c>
      <c r="AJ41" s="57">
        <f ca="1">IF(ISTEXT(INDIRECT(ADDRESS(ROW()-1,COLUMN()))),$AJ$13-(SUM(Table_Query_from_MS_Access_Database4[TOTAL OF AMOUNT])),INDIRECT(ADDRESS(ROW()-1,COLUMN())))-Table_Query_from_MS_Access_Database_1[[#This Row],[TOTAL OF AMOUNT]]</f>
        <v>4296210.4000000022</v>
      </c>
    </row>
    <row r="42" spans="1:38" ht="15.6" customHeight="1">
      <c r="A42" s="63" t="s">
        <v>295</v>
      </c>
      <c r="B42" s="36" t="s">
        <v>296</v>
      </c>
      <c r="C42" s="63" t="s">
        <v>297</v>
      </c>
      <c r="D42" s="63" t="s">
        <v>7</v>
      </c>
      <c r="E42" s="36" t="s">
        <v>298</v>
      </c>
      <c r="F42" s="59" t="s">
        <v>299</v>
      </c>
      <c r="G42" s="59" t="s">
        <v>218</v>
      </c>
      <c r="H42" s="59" t="s">
        <v>219</v>
      </c>
      <c r="I42" s="82">
        <v>46174</v>
      </c>
      <c r="J42" s="82"/>
      <c r="K42" s="82"/>
      <c r="L42" s="82"/>
      <c r="M42" s="63"/>
      <c r="N42" s="63"/>
      <c r="O42" s="63"/>
      <c r="P42" s="63"/>
      <c r="Q42" s="63"/>
      <c r="R42" s="63">
        <v>50000</v>
      </c>
      <c r="S42" s="63"/>
      <c r="T42" s="63"/>
      <c r="U42" s="63"/>
      <c r="V42" s="63"/>
      <c r="W42" s="63"/>
      <c r="X42" s="63"/>
      <c r="Y42" s="63"/>
      <c r="Z42" s="63"/>
      <c r="AA42" s="86"/>
      <c r="AB42" s="63"/>
      <c r="AC42" s="57"/>
      <c r="AD42" s="57"/>
      <c r="AE42" s="57"/>
      <c r="AF42" s="57"/>
      <c r="AG42" s="57"/>
      <c r="AH42" s="57"/>
      <c r="AI42" s="57">
        <f>SUM(Table_Query_from_MS_Access_Database_1[[#This Row],[HURF EX]:[CRP &gt;200]])</f>
        <v>50000</v>
      </c>
      <c r="AJ42" s="57">
        <f ca="1">IF(ISTEXT(INDIRECT(ADDRESS(ROW()-1,COLUMN()))),$AJ$13-(SUM(Table_Query_from_MS_Access_Database4[TOTAL OF AMOUNT])),INDIRECT(ADDRESS(ROW()-1,COLUMN())))-Table_Query_from_MS_Access_Database_1[[#This Row],[TOTAL OF AMOUNT]]</f>
        <v>4246210.4000000022</v>
      </c>
    </row>
    <row r="43" spans="1:38" ht="25.15" hidden="1" customHeight="1">
      <c r="A43" s="63"/>
      <c r="B43" s="36"/>
      <c r="C43" s="63"/>
      <c r="D43" s="63"/>
      <c r="E43" s="36"/>
      <c r="F43" s="59"/>
      <c r="G43" s="59"/>
      <c r="H43" s="59"/>
      <c r="I43" s="82"/>
      <c r="J43" s="82"/>
      <c r="K43" s="82"/>
      <c r="L43" s="82"/>
      <c r="M43" s="63"/>
      <c r="N43" s="63"/>
      <c r="O43" s="63"/>
      <c r="P43" s="63"/>
      <c r="Q43" s="63"/>
      <c r="R43" s="63"/>
      <c r="S43" s="63"/>
      <c r="T43" s="63"/>
      <c r="U43" s="63"/>
      <c r="V43" s="63"/>
      <c r="W43" s="63"/>
      <c r="X43" s="63"/>
      <c r="Y43" s="63"/>
      <c r="Z43" s="63"/>
      <c r="AA43" s="86"/>
      <c r="AB43" s="63"/>
      <c r="AC43" s="57"/>
      <c r="AD43" s="57"/>
      <c r="AE43" s="57"/>
      <c r="AF43" s="57"/>
      <c r="AG43" s="57"/>
      <c r="AH43" s="57"/>
      <c r="AI43" s="57"/>
      <c r="AJ43" s="57"/>
    </row>
    <row r="44" spans="1:38" ht="15.6" hidden="1" customHeight="1">
      <c r="A44" s="63"/>
      <c r="B44" s="36"/>
      <c r="C44" s="63"/>
      <c r="D44" s="63"/>
      <c r="E44" s="36"/>
      <c r="F44" s="59"/>
      <c r="G44" s="59"/>
      <c r="H44" s="59"/>
      <c r="I44" s="82"/>
      <c r="J44" s="82"/>
      <c r="K44" s="82"/>
      <c r="L44" s="82"/>
      <c r="M44" s="63"/>
      <c r="N44" s="63"/>
      <c r="O44" s="63"/>
      <c r="P44" s="63"/>
      <c r="Q44" s="63"/>
      <c r="R44" s="63"/>
      <c r="S44" s="63"/>
      <c r="T44" s="63"/>
      <c r="U44" s="63"/>
      <c r="V44" s="63"/>
      <c r="W44" s="63"/>
      <c r="X44" s="63"/>
      <c r="Y44" s="63"/>
      <c r="Z44" s="63"/>
      <c r="AA44" s="86"/>
      <c r="AB44" s="63"/>
      <c r="AC44" s="57"/>
      <c r="AD44" s="57"/>
      <c r="AE44" s="57"/>
      <c r="AF44" s="57"/>
      <c r="AG44" s="57"/>
      <c r="AH44" s="57"/>
      <c r="AI44" s="57"/>
      <c r="AJ44" s="57"/>
    </row>
    <row r="45" spans="1:38" ht="15.6" hidden="1" customHeight="1">
      <c r="A45" s="63"/>
      <c r="B45" s="36"/>
      <c r="C45" s="63"/>
      <c r="D45" s="63"/>
      <c r="E45" s="36"/>
      <c r="F45" s="59"/>
      <c r="G45" s="59"/>
      <c r="H45" s="59"/>
      <c r="I45" s="82"/>
      <c r="J45" s="82"/>
      <c r="K45" s="82"/>
      <c r="L45" s="82"/>
      <c r="M45" s="63"/>
      <c r="N45" s="63"/>
      <c r="O45" s="63"/>
      <c r="P45" s="63"/>
      <c r="Q45" s="63"/>
      <c r="R45" s="63"/>
      <c r="S45" s="63"/>
      <c r="T45" s="63"/>
      <c r="U45" s="63"/>
      <c r="V45" s="63"/>
      <c r="W45" s="63"/>
      <c r="X45" s="63"/>
      <c r="Y45" s="63"/>
      <c r="Z45" s="63"/>
      <c r="AA45" s="86"/>
      <c r="AB45" s="63"/>
      <c r="AC45" s="57"/>
      <c r="AD45" s="57"/>
      <c r="AE45" s="57"/>
      <c r="AF45" s="57"/>
      <c r="AG45" s="57"/>
      <c r="AH45" s="57"/>
      <c r="AI45" s="57"/>
      <c r="AJ45" s="57"/>
    </row>
    <row r="46" spans="1:38">
      <c r="A46" s="152"/>
      <c r="B46" s="152"/>
      <c r="C46" s="152"/>
      <c r="D46" s="152"/>
      <c r="E46" s="152"/>
      <c r="F46" s="152"/>
      <c r="G46" s="152"/>
      <c r="H46" s="152"/>
      <c r="I46" s="82"/>
      <c r="J46" s="152"/>
      <c r="K46" s="152"/>
      <c r="L46" s="62" t="s">
        <v>211</v>
      </c>
      <c r="M46" s="180">
        <f>SUM(Table_Query_from_MS_Access_Database_1[HURF EX])</f>
        <v>1314900</v>
      </c>
      <c r="N46" s="180">
        <f>SUM(Table_Query_from_MS_Access_Database_1[HSIP])</f>
        <v>0</v>
      </c>
      <c r="O46" s="180">
        <f>SUM(Table_Query_from_MS_Access_Database_1[PL])</f>
        <v>0</v>
      </c>
      <c r="P46" s="180">
        <f>SUM(Table_Query_from_MS_Access_Database_1[PL-SATO])</f>
        <v>0</v>
      </c>
      <c r="Q46" s="180">
        <f>SUM(Table_Query_from_MS_Access_Database_1[SPR])</f>
        <v>0</v>
      </c>
      <c r="R46" s="180">
        <f>SUM(Table_Query_from_MS_Access_Database_1[STP &lt;5])</f>
        <v>2265514</v>
      </c>
      <c r="S46" s="180">
        <f>SUM(Table_Query_from_MS_Access_Database_1[STP 5-200])</f>
        <v>0</v>
      </c>
      <c r="T46" s="180">
        <f>SUM(Table_Query_from_MS_Access_Database_1[STP 5-50])</f>
        <v>2716607.38</v>
      </c>
      <c r="U46" s="180">
        <f>SUM(Table_Query_from_MS_Access_Database_1[STP 50-200])</f>
        <v>0</v>
      </c>
      <c r="V46" s="180">
        <f>SUM(Table_Query_from_MS_Access_Database_1[STP OVER 200K])</f>
        <v>15956000</v>
      </c>
      <c r="W46" s="180">
        <f>SUM(Table_Query_from_MS_Access_Database_1[STP OTHER])</f>
        <v>0</v>
      </c>
      <c r="X46" s="180">
        <f>SUM(Table_Query_from_MS_Access_Database_1[HIP &gt;200])</f>
        <v>0</v>
      </c>
      <c r="Y46" s="180">
        <f>SUM(Table_Query_from_MS_Access_Database_1[TAP &lt;5])</f>
        <v>0</v>
      </c>
      <c r="Z46" s="180">
        <f>SUM(Table_Query_from_MS_Access_Database_1[TAP 5-2])</f>
        <v>0</v>
      </c>
      <c r="AA46" s="180">
        <f>SUM(Table_Query_from_MS_Access_Database_1[TAP 5-50])</f>
        <v>0</v>
      </c>
      <c r="AB46" s="180">
        <f>SUM(Table_Query_from_MS_Access_Database_1[TAP 50-200])</f>
        <v>0</v>
      </c>
      <c r="AC46" s="180">
        <f>SUM(Table_Query_from_MS_Access_Database_1[TAP &gt;200])</f>
        <v>4261000</v>
      </c>
      <c r="AD46" s="180">
        <f>SUM(Table_Query_from_MS_Access_Database_1[TAP Other])</f>
        <v>0</v>
      </c>
      <c r="AE46" s="180">
        <f>SUM(Table_Query_from_MS_Access_Database_1[CRP &lt;5])</f>
        <v>0</v>
      </c>
      <c r="AF46" s="180">
        <f>SUM(Table_Query_from_MS_Access_Database_1[CRP 5-50])</f>
        <v>0</v>
      </c>
      <c r="AG46" s="180">
        <f>SUM(Table_Query_from_MS_Access_Database_1[CRP 50-200])</f>
        <v>0</v>
      </c>
      <c r="AH46" s="180">
        <f>SUM(Table_Query_from_MS_Access_Database_1[CRP &gt;200])</f>
        <v>0</v>
      </c>
      <c r="AI46" s="180">
        <f>SUM(Table_Query_from_MS_Access_Database_1[TOTAL OF AMOUNT])</f>
        <v>26514021.379999999</v>
      </c>
      <c r="AJ46" s="57"/>
    </row>
    <row r="47" spans="1:38">
      <c r="A47" s="71"/>
      <c r="B47" s="71"/>
      <c r="C47" s="71"/>
      <c r="D47" s="52"/>
      <c r="E47" s="52"/>
      <c r="F47" s="34"/>
      <c r="G47" s="34"/>
      <c r="H47" s="34"/>
      <c r="I47" s="34"/>
      <c r="J47" s="56"/>
      <c r="K47" s="56"/>
      <c r="L47" s="62" t="s">
        <v>72</v>
      </c>
      <c r="M47" s="181">
        <f>M30-M46</f>
        <v>-1314900</v>
      </c>
      <c r="N47" s="181">
        <f t="shared" ref="N47:AI47" si="3">+N30-N46</f>
        <v>35051.620000000003</v>
      </c>
      <c r="O47" s="181">
        <f t="shared" si="3"/>
        <v>2</v>
      </c>
      <c r="P47" s="181">
        <f t="shared" si="3"/>
        <v>1</v>
      </c>
      <c r="Q47" s="181">
        <f t="shared" si="3"/>
        <v>350000</v>
      </c>
      <c r="R47" s="181">
        <f t="shared" si="3"/>
        <v>1842563</v>
      </c>
      <c r="S47" s="181">
        <f t="shared" si="3"/>
        <v>0</v>
      </c>
      <c r="T47" s="181">
        <f t="shared" si="3"/>
        <v>1193918.6200000001</v>
      </c>
      <c r="U47" s="181">
        <f t="shared" si="3"/>
        <v>0</v>
      </c>
      <c r="V47" s="181">
        <f>+V30-V46</f>
        <v>2265172.4799999967</v>
      </c>
      <c r="W47" s="181">
        <f t="shared" si="3"/>
        <v>0</v>
      </c>
      <c r="X47" s="181">
        <f t="shared" si="3"/>
        <v>0</v>
      </c>
      <c r="Y47" s="181">
        <f t="shared" si="3"/>
        <v>198257</v>
      </c>
      <c r="Z47" s="181">
        <f t="shared" si="3"/>
        <v>0</v>
      </c>
      <c r="AA47" s="181">
        <f t="shared" si="3"/>
        <v>207503</v>
      </c>
      <c r="AB47" s="181">
        <f t="shared" si="3"/>
        <v>0</v>
      </c>
      <c r="AC47" s="181">
        <f t="shared" si="3"/>
        <v>4332429.18</v>
      </c>
      <c r="AD47" s="181">
        <f t="shared" si="3"/>
        <v>0</v>
      </c>
      <c r="AE47" s="181">
        <f t="shared" si="3"/>
        <v>182061</v>
      </c>
      <c r="AF47" s="181">
        <f t="shared" si="3"/>
        <v>190552</v>
      </c>
      <c r="AG47" s="181">
        <f t="shared" si="3"/>
        <v>0</v>
      </c>
      <c r="AH47" s="181">
        <f t="shared" si="3"/>
        <v>3712985</v>
      </c>
      <c r="AI47" s="181">
        <f t="shared" si="3"/>
        <v>13195595.900000002</v>
      </c>
    </row>
    <row r="48" spans="1:38">
      <c r="J48" s="60"/>
      <c r="K48" s="60"/>
      <c r="L48" s="60"/>
      <c r="M48" s="90">
        <f t="shared" ref="M48:AH48" si="4">M29+M46</f>
        <v>1314900</v>
      </c>
      <c r="N48" s="90">
        <f t="shared" si="4"/>
        <v>-35051.620000000003</v>
      </c>
      <c r="O48" s="90">
        <f>O29+O46</f>
        <v>1316549</v>
      </c>
      <c r="P48" s="90">
        <f>P29+P46</f>
        <v>33757</v>
      </c>
      <c r="Q48" s="90">
        <f t="shared" si="4"/>
        <v>0</v>
      </c>
      <c r="R48" s="90">
        <f t="shared" si="4"/>
        <v>2265514</v>
      </c>
      <c r="S48" s="90">
        <f t="shared" si="4"/>
        <v>0</v>
      </c>
      <c r="T48" s="90">
        <f t="shared" si="4"/>
        <v>2716607.38</v>
      </c>
      <c r="U48" s="90">
        <f t="shared" si="4"/>
        <v>0</v>
      </c>
      <c r="V48" s="90">
        <f t="shared" si="4"/>
        <v>15956000</v>
      </c>
      <c r="W48" s="90">
        <f t="shared" si="4"/>
        <v>0</v>
      </c>
      <c r="X48" s="90">
        <f t="shared" si="4"/>
        <v>0</v>
      </c>
      <c r="Y48" s="90">
        <f t="shared" si="4"/>
        <v>0</v>
      </c>
      <c r="Z48" s="90">
        <f t="shared" si="4"/>
        <v>0</v>
      </c>
      <c r="AA48" s="90">
        <f t="shared" si="4"/>
        <v>0</v>
      </c>
      <c r="AB48" s="90">
        <f t="shared" si="4"/>
        <v>0</v>
      </c>
      <c r="AC48" s="90">
        <f t="shared" si="4"/>
        <v>4140011.82</v>
      </c>
      <c r="AD48" s="90">
        <f t="shared" si="4"/>
        <v>0</v>
      </c>
      <c r="AE48" s="90">
        <f t="shared" si="4"/>
        <v>0</v>
      </c>
      <c r="AF48" s="90">
        <f t="shared" si="4"/>
        <v>0</v>
      </c>
      <c r="AG48" s="90">
        <f t="shared" si="4"/>
        <v>0</v>
      </c>
      <c r="AH48" s="90">
        <f t="shared" si="4"/>
        <v>0</v>
      </c>
      <c r="AI48" s="90">
        <f>+AI29+AI46</f>
        <v>27708287.579999998</v>
      </c>
    </row>
    <row r="49" spans="1:36">
      <c r="J49" s="60"/>
      <c r="K49" s="60"/>
      <c r="L49" s="60"/>
      <c r="M49" s="60"/>
      <c r="X49" s="26"/>
      <c r="Y49" s="26" t="s">
        <v>148</v>
      </c>
      <c r="AB49" s="34"/>
    </row>
    <row r="50" spans="1:36" ht="16.5" thickBot="1">
      <c r="A50" s="213" t="s">
        <v>73</v>
      </c>
      <c r="B50" s="213"/>
      <c r="C50" s="213"/>
      <c r="J50" s="60"/>
      <c r="K50" s="60"/>
      <c r="L50" s="60"/>
      <c r="M50" s="60"/>
      <c r="N50" s="211" t="s">
        <v>56</v>
      </c>
      <c r="O50" s="211"/>
      <c r="P50" s="211"/>
      <c r="Q50" s="211"/>
      <c r="R50" s="211"/>
      <c r="S50" s="211"/>
      <c r="T50" s="211"/>
      <c r="U50" s="211"/>
      <c r="V50" s="54"/>
      <c r="W50" s="36"/>
      <c r="X50" s="34"/>
      <c r="AB50" s="34"/>
    </row>
    <row r="51" spans="1:36">
      <c r="J51" s="60"/>
      <c r="K51" s="60"/>
      <c r="L51" s="61"/>
      <c r="M51" s="159" t="s">
        <v>133</v>
      </c>
      <c r="N51" s="59" t="s">
        <v>4</v>
      </c>
      <c r="O51" s="59" t="s">
        <v>40</v>
      </c>
      <c r="P51" s="59" t="s">
        <v>175</v>
      </c>
      <c r="Q51" s="59" t="s">
        <v>5</v>
      </c>
      <c r="R51" s="59" t="s">
        <v>124</v>
      </c>
      <c r="S51" s="58" t="s">
        <v>125</v>
      </c>
      <c r="T51" s="58" t="s">
        <v>176</v>
      </c>
      <c r="U51" s="58" t="s">
        <v>177</v>
      </c>
      <c r="V51" s="58" t="s">
        <v>87</v>
      </c>
      <c r="W51" s="59" t="s">
        <v>51</v>
      </c>
      <c r="X51" s="59" t="s">
        <v>142</v>
      </c>
      <c r="Y51" s="59" t="s">
        <v>121</v>
      </c>
      <c r="Z51" s="59" t="s">
        <v>122</v>
      </c>
      <c r="AA51" s="59" t="s">
        <v>178</v>
      </c>
      <c r="AB51" s="59" t="s">
        <v>179</v>
      </c>
      <c r="AC51" s="59" t="s">
        <v>89</v>
      </c>
      <c r="AD51" s="59" t="s">
        <v>88</v>
      </c>
      <c r="AE51" s="59" t="s">
        <v>180</v>
      </c>
      <c r="AF51" s="59" t="s">
        <v>181</v>
      </c>
      <c r="AG51" s="164" t="s">
        <v>182</v>
      </c>
      <c r="AH51" s="164" t="s">
        <v>183</v>
      </c>
      <c r="AI51" s="165" t="s">
        <v>10</v>
      </c>
      <c r="AJ51" s="166" t="s">
        <v>57</v>
      </c>
    </row>
    <row r="52" spans="1:36">
      <c r="A52" s="76"/>
      <c r="B52" s="184"/>
      <c r="C52" s="34"/>
      <c r="D52" s="34"/>
      <c r="E52" s="34"/>
      <c r="F52" s="34"/>
      <c r="G52" s="34"/>
      <c r="H52" s="34"/>
      <c r="I52" s="34"/>
      <c r="J52" s="56"/>
      <c r="K52" s="56"/>
      <c r="L52" s="66" t="s">
        <v>264</v>
      </c>
      <c r="M52" s="160">
        <f>+M47</f>
        <v>-1314900</v>
      </c>
      <c r="N52" s="163">
        <f>+N47</f>
        <v>35051.620000000003</v>
      </c>
      <c r="O52" s="163">
        <f t="shared" ref="O52:AH52" si="5">+O47</f>
        <v>2</v>
      </c>
      <c r="P52" s="163">
        <f>+P47</f>
        <v>1</v>
      </c>
      <c r="Q52" s="163">
        <f>+Q47</f>
        <v>350000</v>
      </c>
      <c r="R52" s="163">
        <f t="shared" si="5"/>
        <v>1842563</v>
      </c>
      <c r="S52" s="163">
        <f t="shared" si="5"/>
        <v>0</v>
      </c>
      <c r="T52" s="163">
        <f t="shared" si="5"/>
        <v>1193918.6200000001</v>
      </c>
      <c r="U52" s="163">
        <f t="shared" si="5"/>
        <v>0</v>
      </c>
      <c r="V52" s="163">
        <f t="shared" si="5"/>
        <v>2265172.4799999967</v>
      </c>
      <c r="W52" s="163">
        <f t="shared" si="5"/>
        <v>0</v>
      </c>
      <c r="X52" s="163">
        <v>0</v>
      </c>
      <c r="Y52" s="163">
        <f t="shared" si="5"/>
        <v>198257</v>
      </c>
      <c r="Z52" s="163">
        <f t="shared" si="5"/>
        <v>0</v>
      </c>
      <c r="AA52" s="163">
        <f t="shared" si="5"/>
        <v>207503</v>
      </c>
      <c r="AB52" s="163">
        <f t="shared" si="5"/>
        <v>0</v>
      </c>
      <c r="AC52" s="163">
        <f t="shared" si="5"/>
        <v>4332429.18</v>
      </c>
      <c r="AD52" s="163">
        <f t="shared" si="5"/>
        <v>0</v>
      </c>
      <c r="AE52" s="163">
        <f t="shared" si="5"/>
        <v>182061</v>
      </c>
      <c r="AF52" s="163">
        <f t="shared" si="5"/>
        <v>190552</v>
      </c>
      <c r="AG52" s="163">
        <f t="shared" si="5"/>
        <v>0</v>
      </c>
      <c r="AH52" s="163">
        <f t="shared" si="5"/>
        <v>3712985</v>
      </c>
      <c r="AI52" s="154">
        <f>SUM(M52:AH52)</f>
        <v>13195595.899999997</v>
      </c>
      <c r="AJ52" s="167">
        <f ca="1">AJ42</f>
        <v>4246210.4000000022</v>
      </c>
    </row>
    <row r="53" spans="1:36">
      <c r="B53" s="178"/>
      <c r="E53" s="34"/>
      <c r="F53" s="34"/>
      <c r="G53" s="34"/>
      <c r="H53" s="34"/>
      <c r="I53" s="34"/>
      <c r="J53" s="56"/>
      <c r="K53" s="56"/>
      <c r="L53" s="66" t="s">
        <v>265</v>
      </c>
      <c r="M53" s="161">
        <f>SUMIFS(Table_Query_from_MS_Access_Database[[#All],[Notes]],Table_Query_from_MS_Access_Database[[#All],[Transaction Year]],"2022",Table_Query_from_MS_Access_Database[[#All],[Transaction Type]],"Lapsing")</f>
        <v>0</v>
      </c>
      <c r="N53" s="163">
        <f>SUMIFS(Table_Query_from_MS_Access_Database[[#All],[Total]],Table_Query_from_MS_Access_Database[[#All],[Transaction Type]],"2022",Table_Query_from_MS_Access_Database[[#All],[Number]],"Lapsing")</f>
        <v>0</v>
      </c>
      <c r="O53" s="163">
        <f>SUMIFS(Table_Query_from_MS_Access_Database[[#All],[HURF Exchange]],Table_Query_from_MS_Access_Database[[#All],[Number]],"2022",Table_Query_from_MS_Access_Database[[#All],[From]],"Lapsing")</f>
        <v>0</v>
      </c>
      <c r="P53" s="163">
        <f>SUMIFS(Table_Query_from_MS_Access_Database[[#All],[HSIP]],Table_Query_from_MS_Access_Database[[#All],[From]],"2022",Table_Query_from_MS_Access_Database[[#All],[To]],"Lapsing")</f>
        <v>0</v>
      </c>
      <c r="Q53" s="163">
        <f>SUMIFS(Table_Query_from_MS_Access_Database[[#All],[PLAN]],Table_Query_from_MS_Access_Database[[#All],[To]],"2022",Table_Query_from_MS_Access_Database[[#All],[Repayment Year]],"Lapsing")</f>
        <v>0</v>
      </c>
      <c r="R53" s="163">
        <f>SUMIFS(Table_Query_from_MS_Access_Database[[#All],[PLAN SATO]],Table_Query_from_MS_Access_Database[[#All],[Repayment Year]],"2022",Table_Query_from_MS_Access_Database[[#All],[Project8]],"Lapsing")</f>
        <v>0</v>
      </c>
      <c r="S53" s="163">
        <f>SUMIFS(Table_Query_from_MS_Access_Database[[#All],[SPR]],Table_Query_from_MS_Access_Database[[#All],[Project8]],"2022",Table_Query_from_MS_Access_Database[[#All],[Notes]],"Lapsing")</f>
        <v>0</v>
      </c>
      <c r="T53" s="163">
        <f>SUMIFS(Table_Query_from_MS_Access_Database[[#All],[STP &lt;5]],Table_Query_from_MS_Access_Database[[#All],[Notes]],"2022",Table_Query_from_MS_Access_Database[[#All],[Total]],"Lapsing")</f>
        <v>0</v>
      </c>
      <c r="U53" s="163">
        <f>SUMIFS(Table_Query_from_MS_Access_Database[[#All],[STP 5-2]],Table_Query_from_MS_Access_Database[[#All],[Total]],"2022",Table_Query_from_MS_Access_Database[[#All],[HURF Exchange]],"Lapsing")</f>
        <v>0</v>
      </c>
      <c r="V53" s="163">
        <f>SUMIFS(Table_Query_from_MS_Access_Database[[#All],[STP 5-50]],Table_Query_from_MS_Access_Database[[#All],[HURF Exchange]],"2022",Table_Query_from_MS_Access_Database[[#All],[HSIP]],"Lapsing")</f>
        <v>0</v>
      </c>
      <c r="W53" s="163">
        <f>SUMIFS(Table_Query_from_MS_Access_Database[[#All],[STP 50-200]],Table_Query_from_MS_Access_Database[[#All],[HSIP]],"2022",Table_Query_from_MS_Access_Database[[#All],[PLAN]],"Lapsing")</f>
        <v>0</v>
      </c>
      <c r="X53" s="163">
        <f>SUMIFS(Table_Query_from_MS_Access_Database[[#All],[STP &gt;200]],Table_Query_from_MS_Access_Database[[#All],[PLAN]],"2022",Table_Query_from_MS_Access_Database[[#All],[PLAN SATO]],"Lapsing")</f>
        <v>0</v>
      </c>
      <c r="Y53" s="163">
        <f>SUMIFS(Table_Query_from_MS_Access_Database[[#All],[STP Flex]],Table_Query_from_MS_Access_Database[[#All],[PLAN SATO]],"2022",Table_Query_from_MS_Access_Database[[#All],[SPR]],"Lapsing")</f>
        <v>0</v>
      </c>
      <c r="Z53" s="163">
        <f>SUMIFS(Table_Query_from_MS_Access_Database[[#All],[HIP &gt;200]],Table_Query_from_MS_Access_Database[[#All],[SPR]],"2022",Table_Query_from_MS_Access_Database[[#All],[STP &lt;5]],"Lapsing")</f>
        <v>0</v>
      </c>
      <c r="AA53" s="163">
        <f>SUMIFS(Table_Query_from_MS_Access_Database[[#All],[TAP &lt;5]],Table_Query_from_MS_Access_Database[[#All],[STP &lt;5]],"2022",Table_Query_from_MS_Access_Database[[#All],[STP 5-2]],"Lapsing")</f>
        <v>0</v>
      </c>
      <c r="AB53" s="163">
        <f>SUMIFS(Table_Query_from_MS_Access_Database[[#All],[TAP 5-2]],Table_Query_from_MS_Access_Database[[#All],[STP 5-2]],"2022",Table_Query_from_MS_Access_Database[[#All],[STP 5-50]],"Lapsing")</f>
        <v>0</v>
      </c>
      <c r="AC53" s="163">
        <f>SUMIFS(Table_Query_from_MS_Access_Database[[#All],[TAP 5-50]],Table_Query_from_MS_Access_Database[[#All],[STP 5-50]],"2022",Table_Query_from_MS_Access_Database[[#All],[STP 50-200]],"Lapsing")</f>
        <v>0</v>
      </c>
      <c r="AD53" s="163">
        <f>SUMIFS(Table_Query_from_MS_Access_Database[[#All],[TAP 50-200]],Table_Query_from_MS_Access_Database[[#All],[STP 50-200]],"2022",Table_Query_from_MS_Access_Database[[#All],[STP &gt;200]],"Lapsing")</f>
        <v>0</v>
      </c>
      <c r="AE53" s="163">
        <f>SUMIFS(Table_Query_from_MS_Access_Database[[#All],[TAP &gt;200]],Table_Query_from_MS_Access_Database[[#All],[STP &gt;200]],"2022",Table_Query_from_MS_Access_Database[[#All],[STP Flex]],"Lapsing")</f>
        <v>0</v>
      </c>
      <c r="AF53" s="163">
        <f>SUMIFS(Table_Query_from_MS_Access_Database[[#All],[TAP Flex]],Table_Query_from_MS_Access_Database[[#All],[STP Flex]],"2022",Table_Query_from_MS_Access_Database[[#All],[HIP &gt;200]],"Lapsing")</f>
        <v>0</v>
      </c>
      <c r="AG53" s="68">
        <f>SUMIFS(Table_Query_from_MS_Access_Database[[#All],[CRP &lt;5]],Table_Query_from_MS_Access_Database[[#All],[HIP &gt;200]],"2022",Table_Query_from_MS_Access_Database[[#All],[TAP &lt;5]],"Lapsing")</f>
        <v>0</v>
      </c>
      <c r="AH53" s="89">
        <f>SUMIFS(Table_Query_from_MS_Access_Database[[#All],[CRP 5-50]],Table_Query_from_MS_Access_Database[[#All],[TAP &lt;5]],"2022",Table_Query_from_MS_Access_Database[[#All],[TAP 5-2]],"Lapsing")</f>
        <v>0</v>
      </c>
      <c r="AI53" s="68">
        <f>SUM(M53:AH53)</f>
        <v>0</v>
      </c>
      <c r="AJ53" s="170">
        <f>SUMIFS(Table_Query_from_MS_Access_Database_16[[#All],[To]],Table_Query_from_MS_Access_Database_16[[#All],[Transaction Year]],"2019",Table_Query_from_MS_Access_Database_16[[#All],[Transaction Type]],"Lapsing")</f>
        <v>0</v>
      </c>
    </row>
    <row r="54" spans="1:36">
      <c r="B54" s="76"/>
      <c r="E54" s="34"/>
      <c r="F54" s="34"/>
      <c r="G54" s="34"/>
      <c r="H54" s="34"/>
      <c r="I54" s="34"/>
      <c r="J54" s="56"/>
      <c r="K54" s="56"/>
      <c r="L54" s="66" t="s">
        <v>266</v>
      </c>
      <c r="M54" s="160">
        <f>SUM(M52:M53)</f>
        <v>-1314900</v>
      </c>
      <c r="N54" s="69">
        <f>SUM(N52:N53)</f>
        <v>35051.620000000003</v>
      </c>
      <c r="O54" s="69">
        <f>SUM(O52:O53)</f>
        <v>2</v>
      </c>
      <c r="P54" s="69">
        <f t="shared" ref="P54:AH54" si="6">SUM(P52:P53)</f>
        <v>1</v>
      </c>
      <c r="Q54" s="69">
        <f t="shared" si="6"/>
        <v>350000</v>
      </c>
      <c r="R54" s="69">
        <f t="shared" si="6"/>
        <v>1842563</v>
      </c>
      <c r="S54" s="69">
        <f t="shared" si="6"/>
        <v>0</v>
      </c>
      <c r="T54" s="69">
        <f t="shared" si="6"/>
        <v>1193918.6200000001</v>
      </c>
      <c r="U54" s="69">
        <f t="shared" si="6"/>
        <v>0</v>
      </c>
      <c r="V54" s="69">
        <f t="shared" si="6"/>
        <v>2265172.4799999967</v>
      </c>
      <c r="W54" s="69">
        <f t="shared" si="6"/>
        <v>0</v>
      </c>
      <c r="X54" s="69">
        <f t="shared" si="6"/>
        <v>0</v>
      </c>
      <c r="Y54" s="69">
        <f t="shared" si="6"/>
        <v>198257</v>
      </c>
      <c r="Z54" s="69">
        <f t="shared" si="6"/>
        <v>0</v>
      </c>
      <c r="AA54" s="69">
        <f t="shared" si="6"/>
        <v>207503</v>
      </c>
      <c r="AB54" s="69">
        <f t="shared" si="6"/>
        <v>0</v>
      </c>
      <c r="AC54" s="69">
        <f t="shared" si="6"/>
        <v>4332429.18</v>
      </c>
      <c r="AD54" s="69">
        <f t="shared" si="6"/>
        <v>0</v>
      </c>
      <c r="AE54" s="69">
        <f t="shared" si="6"/>
        <v>182061</v>
      </c>
      <c r="AF54" s="69">
        <f t="shared" si="6"/>
        <v>190552</v>
      </c>
      <c r="AG54" s="69">
        <f t="shared" si="6"/>
        <v>0</v>
      </c>
      <c r="AH54" s="69">
        <f t="shared" si="6"/>
        <v>3712985</v>
      </c>
      <c r="AI54" s="154">
        <f>SUM(M54:AH54)</f>
        <v>13195595.899999997</v>
      </c>
      <c r="AJ54" s="167">
        <f ca="1">SUBTOTAL(109,AJ52:AJ53)</f>
        <v>4246210.4000000022</v>
      </c>
    </row>
    <row r="55" spans="1:36" ht="16.5" customHeight="1" thickBot="1">
      <c r="J55" s="56"/>
      <c r="K55" s="56"/>
      <c r="L55" s="67" t="s">
        <v>267</v>
      </c>
      <c r="M55" s="162">
        <v>0</v>
      </c>
      <c r="N55" s="162">
        <v>0</v>
      </c>
      <c r="O55" s="162">
        <v>0</v>
      </c>
      <c r="P55" s="162">
        <v>0</v>
      </c>
      <c r="Q55" s="162">
        <v>0</v>
      </c>
      <c r="R55" s="162">
        <v>0</v>
      </c>
      <c r="S55" s="162">
        <v>0</v>
      </c>
      <c r="T55" s="162">
        <v>0</v>
      </c>
      <c r="U55" s="162">
        <v>0</v>
      </c>
      <c r="V55" s="70">
        <v>0</v>
      </c>
      <c r="W55" s="70">
        <v>0</v>
      </c>
      <c r="X55" s="88">
        <f>X47</f>
        <v>0</v>
      </c>
      <c r="Y55" s="36">
        <v>0</v>
      </c>
      <c r="Z55" s="70">
        <v>0</v>
      </c>
      <c r="AA55" s="70">
        <v>0</v>
      </c>
      <c r="AB55" s="70">
        <v>0</v>
      </c>
      <c r="AC55" s="70">
        <v>0</v>
      </c>
      <c r="AD55" s="70">
        <v>0</v>
      </c>
      <c r="AE55" s="70">
        <v>0</v>
      </c>
      <c r="AF55" s="70">
        <v>0</v>
      </c>
      <c r="AG55" s="86">
        <f>AG54</f>
        <v>0</v>
      </c>
      <c r="AH55" s="86">
        <v>0</v>
      </c>
      <c r="AI55" s="168">
        <f>+SUM(Table6[[#This Row],[HSIP]:[CRP &gt;200]])</f>
        <v>0</v>
      </c>
      <c r="AJ55" s="169">
        <f>+Table6[[#This Row],[HIP &gt; 200]]</f>
        <v>0</v>
      </c>
    </row>
    <row r="56" spans="1:36">
      <c r="U56" s="33"/>
      <c r="V56" s="36"/>
      <c r="W56" s="36"/>
      <c r="X56" s="34"/>
      <c r="AB56" s="34"/>
    </row>
    <row r="57" spans="1:36">
      <c r="C57" s="179"/>
    </row>
    <row r="59" spans="1:36" ht="15">
      <c r="A59" s="205" t="s">
        <v>243</v>
      </c>
    </row>
    <row r="60" spans="1:36">
      <c r="AJ60" s="26"/>
    </row>
    <row r="61" spans="1:36" ht="15">
      <c r="A61" t="s">
        <v>241</v>
      </c>
    </row>
    <row r="62" spans="1:36" ht="15">
      <c r="B62" s="196" t="s">
        <v>239</v>
      </c>
    </row>
    <row r="63" spans="1:36" ht="15">
      <c r="B63" s="196" t="s">
        <v>240</v>
      </c>
    </row>
    <row r="65" spans="1:2" ht="15">
      <c r="A65" t="s">
        <v>242</v>
      </c>
      <c r="B65"/>
    </row>
    <row r="66" spans="1:2" ht="15">
      <c r="A66"/>
      <c r="B66"/>
    </row>
    <row r="67" spans="1:2" ht="15">
      <c r="A67" t="s">
        <v>327</v>
      </c>
      <c r="B67"/>
    </row>
    <row r="68" spans="1:2" ht="15">
      <c r="A68" t="s">
        <v>328</v>
      </c>
      <c r="B68"/>
    </row>
    <row r="69" spans="1:2" ht="15">
      <c r="B69" t="s">
        <v>245</v>
      </c>
    </row>
    <row r="70" spans="1:2" ht="15">
      <c r="B70" t="s">
        <v>246</v>
      </c>
    </row>
    <row r="71" spans="1:2" ht="15">
      <c r="A71" t="s">
        <v>326</v>
      </c>
    </row>
    <row r="72" spans="1:2" ht="15">
      <c r="B72" t="s">
        <v>245</v>
      </c>
    </row>
    <row r="73" spans="1:2" ht="15">
      <c r="B73" t="s">
        <v>246</v>
      </c>
    </row>
    <row r="74" spans="1:2" ht="15">
      <c r="A74" t="s">
        <v>329</v>
      </c>
    </row>
    <row r="75" spans="1:2">
      <c r="A75" s="184"/>
    </row>
    <row r="76" spans="1:2">
      <c r="A76" s="209"/>
    </row>
    <row r="77" spans="1:2">
      <c r="A77" s="209"/>
    </row>
    <row r="78" spans="1:2">
      <c r="A78" s="184"/>
    </row>
    <row r="79" spans="1:2">
      <c r="A79" s="209"/>
    </row>
    <row r="80" spans="1:2">
      <c r="A80" s="209"/>
    </row>
  </sheetData>
  <sheetProtection autoFilter="0"/>
  <mergeCells count="11">
    <mergeCell ref="A32:D32"/>
    <mergeCell ref="N50:U50"/>
    <mergeCell ref="A1:F1"/>
    <mergeCell ref="A15:D15"/>
    <mergeCell ref="A50:C50"/>
    <mergeCell ref="I15:L15"/>
    <mergeCell ref="M2:AI2"/>
    <mergeCell ref="M1:AI1"/>
    <mergeCell ref="A3:C3"/>
    <mergeCell ref="A5:C5"/>
    <mergeCell ref="A10:H10"/>
  </mergeCells>
  <pageMargins left="0.5" right="0.25" top="0.75" bottom="0.75" header="0.3" footer="0.3"/>
  <pageSetup paperSize="17" scale="52" fitToHeight="0" orientation="landscape" horizontalDpi="1200" verticalDpi="1200" r:id="rId1"/>
  <headerFooter>
    <oddFooter>&amp;L&amp;8&amp;Z&amp;F&amp;R&amp;P of &amp;N</oddFooter>
  </headerFooter>
  <drawing r:id="rId2"/>
  <tableParts count="3">
    <tablePart r:id="rId3"/>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U316"/>
  <sheetViews>
    <sheetView topLeftCell="N1" zoomScale="90" zoomScaleNormal="90" workbookViewId="0">
      <selection activeCell="Z56" sqref="Z56:Z58"/>
    </sheetView>
  </sheetViews>
  <sheetFormatPr defaultColWidth="19.7109375" defaultRowHeight="15"/>
  <cols>
    <col min="1" max="1" width="19.28515625" style="16" bestFit="1" customWidth="1"/>
    <col min="2" max="2" width="19.7109375" style="16" bestFit="1" customWidth="1"/>
    <col min="3" max="3" width="24" style="16" bestFit="1" customWidth="1"/>
    <col min="4" max="4" width="9.28515625" style="16" bestFit="1" customWidth="1"/>
    <col min="5" max="5" width="7.28515625" style="16" bestFit="1" customWidth="1"/>
    <col min="6" max="6" width="19.42578125" style="16" bestFit="1" customWidth="1"/>
    <col min="7" max="7" width="39.28515625" style="16" bestFit="1" customWidth="1"/>
    <col min="8" max="8" width="50.140625" style="17" bestFit="1" customWidth="1"/>
    <col min="9" max="9" width="15.7109375" style="16" bestFit="1" customWidth="1"/>
    <col min="10" max="10" width="18.5703125" style="16" bestFit="1" customWidth="1"/>
    <col min="11" max="11" width="12.85546875" style="16" bestFit="1" customWidth="1"/>
    <col min="12" max="12" width="9.28515625" style="16" bestFit="1" customWidth="1"/>
    <col min="13" max="13" width="14.5703125" style="16" bestFit="1" customWidth="1"/>
    <col min="14" max="14" width="11.7109375" style="16" bestFit="1" customWidth="1"/>
    <col min="15" max="17" width="14.7109375" style="16" bestFit="1" customWidth="1"/>
    <col min="18" max="18" width="14.5703125" style="16" bestFit="1" customWidth="1"/>
    <col min="19" max="19" width="15.7109375" style="16" bestFit="1" customWidth="1"/>
    <col min="20" max="20" width="15.140625" style="16" bestFit="1" customWidth="1"/>
    <col min="21" max="21" width="14.7109375" style="16" bestFit="1" customWidth="1"/>
    <col min="22" max="22" width="10.7109375" style="16" bestFit="1" customWidth="1"/>
    <col min="23" max="23" width="11.42578125" style="16" bestFit="1" customWidth="1"/>
    <col min="24" max="24" width="12.5703125" style="16" bestFit="1" customWidth="1"/>
    <col min="25" max="26" width="14.7109375" style="16" bestFit="1" customWidth="1"/>
    <col min="27" max="27" width="12.85546875" style="16" bestFit="1" customWidth="1"/>
    <col min="28" max="28" width="11.7109375" style="16" bestFit="1" customWidth="1"/>
    <col min="29" max="29" width="12.7109375" style="16" bestFit="1" customWidth="1"/>
    <col min="30" max="30" width="14.85546875" style="16" bestFit="1" customWidth="1"/>
    <col min="31" max="31" width="13.140625" style="16" bestFit="1" customWidth="1"/>
    <col min="32" max="32" width="12.5703125" style="16" customWidth="1"/>
    <col min="33" max="33" width="13.85546875" style="16" bestFit="1" customWidth="1"/>
    <col min="34" max="35" width="12.5703125" style="16" customWidth="1"/>
    <col min="36" max="36" width="10.7109375" style="16" customWidth="1"/>
    <col min="37" max="37" width="11.42578125" style="16" customWidth="1"/>
    <col min="38" max="38" width="12.85546875" style="16" customWidth="1"/>
    <col min="39" max="39" width="16.42578125" style="16" customWidth="1"/>
    <col min="40" max="41" width="9.5703125" style="16" customWidth="1"/>
    <col min="42" max="42" width="11.85546875" style="16" customWidth="1"/>
    <col min="43" max="43" width="64.28515625" style="16" customWidth="1"/>
    <col min="44" max="44" width="14" style="16" customWidth="1"/>
    <col min="45" max="45" width="16.85546875" style="16" customWidth="1"/>
    <col min="46" max="46" width="12.140625" style="16" customWidth="1"/>
    <col min="47" max="47" width="16" style="16" customWidth="1"/>
  </cols>
  <sheetData>
    <row r="1" spans="1:47" ht="18.75">
      <c r="A1" s="223" t="str">
        <f>+'Federal Funds Transactions'!A1:F1</f>
        <v>Pima Association of Goverments</v>
      </c>
      <c r="B1" s="223"/>
      <c r="C1" s="223"/>
      <c r="D1" s="223"/>
      <c r="E1" s="223"/>
      <c r="F1" s="223"/>
    </row>
    <row r="2" spans="1:47">
      <c r="A2" s="18"/>
      <c r="B2" s="18"/>
      <c r="C2" s="18"/>
      <c r="D2" s="18"/>
      <c r="E2" s="18"/>
      <c r="F2" s="18"/>
    </row>
    <row r="3" spans="1:47">
      <c r="A3" s="224" t="s">
        <v>78</v>
      </c>
      <c r="B3" s="224"/>
      <c r="C3" s="224"/>
      <c r="D3" s="224"/>
      <c r="E3" s="224"/>
      <c r="F3" s="224"/>
    </row>
    <row r="4" spans="1:47">
      <c r="A4" s="19"/>
      <c r="B4" s="19"/>
      <c r="C4" s="19"/>
      <c r="D4" s="19"/>
      <c r="E4" s="19"/>
      <c r="F4" s="19"/>
    </row>
    <row r="5" spans="1:47">
      <c r="A5" s="16" t="s">
        <v>77</v>
      </c>
      <c r="B5" s="43">
        <f>+'Federal Funds Transactions'!B6</f>
        <v>46024</v>
      </c>
      <c r="C5" s="18"/>
      <c r="D5" s="18"/>
      <c r="E5" s="18"/>
      <c r="F5" s="18"/>
    </row>
    <row r="6" spans="1:47">
      <c r="A6" s="18"/>
      <c r="B6" s="18"/>
      <c r="C6" s="18"/>
      <c r="D6" s="18"/>
      <c r="E6" s="18"/>
      <c r="F6" s="18"/>
    </row>
    <row r="7" spans="1:47" ht="15" customHeight="1">
      <c r="A7" s="227" t="str">
        <f>+'Federal Funds Transactions'!A10:K10</f>
        <v>IMPORTANT! Please review the information in the Notes tab for further explanation of the data in this document.</v>
      </c>
      <c r="B7" s="227"/>
      <c r="C7" s="227"/>
      <c r="D7" s="227"/>
      <c r="E7" s="227"/>
      <c r="F7" s="227"/>
      <c r="G7" s="227"/>
      <c r="H7" s="227"/>
    </row>
    <row r="9" spans="1:47" ht="15.75" customHeight="1">
      <c r="A9" s="225" t="s">
        <v>75</v>
      </c>
      <c r="B9" s="225"/>
      <c r="C9" s="225"/>
      <c r="D9" s="225"/>
      <c r="E9" s="225"/>
      <c r="F9" s="225"/>
      <c r="G9" s="225"/>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20"/>
      <c r="AS9" s="20"/>
    </row>
    <row r="10" spans="1:47" ht="15.75">
      <c r="A10" s="21"/>
      <c r="B10" s="21"/>
      <c r="C10" s="21"/>
      <c r="D10" s="21"/>
      <c r="E10" s="22"/>
      <c r="F10" s="22"/>
      <c r="G10" s="22"/>
      <c r="H10" s="23"/>
      <c r="I10" s="22"/>
      <c r="J10" s="22"/>
      <c r="K10" s="22"/>
      <c r="L10" s="22"/>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c r="AS10" s="20"/>
      <c r="AT10" s="22"/>
      <c r="AU10" s="22"/>
    </row>
    <row r="11" spans="1:47">
      <c r="A11" s="46" t="s">
        <v>41</v>
      </c>
      <c r="B11" s="47" t="s">
        <v>42</v>
      </c>
      <c r="C11" s="47" t="s">
        <v>13</v>
      </c>
      <c r="D11" s="47" t="s">
        <v>83</v>
      </c>
      <c r="E11" s="47" t="s">
        <v>84</v>
      </c>
      <c r="F11" s="47" t="s">
        <v>43</v>
      </c>
      <c r="G11" s="47" t="s">
        <v>85</v>
      </c>
      <c r="H11" s="47" t="s">
        <v>86</v>
      </c>
      <c r="I11" s="47" t="s">
        <v>10</v>
      </c>
      <c r="J11" s="47" t="s">
        <v>134</v>
      </c>
      <c r="K11" s="47" t="s">
        <v>4</v>
      </c>
      <c r="L11" s="47" t="s">
        <v>129</v>
      </c>
      <c r="M11" s="47" t="s">
        <v>184</v>
      </c>
      <c r="N11" s="48" t="s">
        <v>5</v>
      </c>
      <c r="O11" s="48" t="s">
        <v>124</v>
      </c>
      <c r="P11" s="48" t="s">
        <v>125</v>
      </c>
      <c r="Q11" s="48" t="s">
        <v>176</v>
      </c>
      <c r="R11" s="48" t="s">
        <v>177</v>
      </c>
      <c r="S11" s="48" t="s">
        <v>130</v>
      </c>
      <c r="T11" s="48" t="s">
        <v>131</v>
      </c>
      <c r="U11" s="48" t="s">
        <v>139</v>
      </c>
      <c r="V11" s="48" t="s">
        <v>121</v>
      </c>
      <c r="W11" s="47" t="s">
        <v>122</v>
      </c>
      <c r="X11" s="47" t="s">
        <v>178</v>
      </c>
      <c r="Y11" s="47" t="s">
        <v>179</v>
      </c>
      <c r="Z11" s="47" t="s">
        <v>126</v>
      </c>
      <c r="AA11" s="47" t="s">
        <v>132</v>
      </c>
      <c r="AB11" s="47" t="s">
        <v>180</v>
      </c>
      <c r="AC11" s="47" t="s">
        <v>181</v>
      </c>
      <c r="AD11" s="47" t="s">
        <v>182</v>
      </c>
      <c r="AE11" s="47" t="s">
        <v>183</v>
      </c>
      <c r="AF11" s="22"/>
      <c r="AG11"/>
      <c r="AH11"/>
      <c r="AI11"/>
      <c r="AJ11"/>
      <c r="AK11"/>
      <c r="AL11"/>
      <c r="AM11"/>
      <c r="AN11"/>
      <c r="AO11"/>
      <c r="AP11"/>
      <c r="AQ11"/>
      <c r="AR11"/>
      <c r="AS11"/>
      <c r="AT11"/>
      <c r="AU11"/>
    </row>
    <row r="12" spans="1:47" hidden="1">
      <c r="A12" s="39" t="s">
        <v>93</v>
      </c>
      <c r="B12" s="37" t="s">
        <v>91</v>
      </c>
      <c r="C12" s="37" t="s">
        <v>95</v>
      </c>
      <c r="D12" s="37" t="s">
        <v>90</v>
      </c>
      <c r="E12" s="37" t="s">
        <v>94</v>
      </c>
      <c r="F12" s="37" t="s">
        <v>93</v>
      </c>
      <c r="G12" s="37"/>
      <c r="H12" s="37" t="s">
        <v>96</v>
      </c>
      <c r="I12" s="37">
        <v>496655</v>
      </c>
      <c r="J12" s="37"/>
      <c r="K12" s="37"/>
      <c r="L12" s="38"/>
      <c r="M12" s="38"/>
      <c r="N12" s="75"/>
      <c r="O12" s="75"/>
      <c r="P12" s="83"/>
      <c r="Q12" s="83"/>
      <c r="R12" s="83"/>
      <c r="S12" s="83">
        <v>496655</v>
      </c>
      <c r="T12" s="83"/>
      <c r="U12" s="83"/>
      <c r="V12" s="83"/>
      <c r="W12" s="75"/>
      <c r="X12" s="155"/>
      <c r="Y12" s="155"/>
      <c r="Z12" s="155"/>
      <c r="AA12" s="155"/>
      <c r="AB12" s="155"/>
      <c r="AC12" s="155"/>
      <c r="AD12" s="155"/>
      <c r="AE12" s="155"/>
      <c r="AF12" s="45"/>
      <c r="AG12"/>
      <c r="AH12"/>
      <c r="AI12"/>
      <c r="AJ12"/>
      <c r="AK12"/>
      <c r="AL12"/>
      <c r="AM12"/>
      <c r="AN12"/>
      <c r="AO12"/>
      <c r="AP12"/>
      <c r="AQ12"/>
      <c r="AR12"/>
      <c r="AS12"/>
      <c r="AT12"/>
      <c r="AU12"/>
    </row>
    <row r="13" spans="1:47" hidden="1">
      <c r="A13" s="40" t="s">
        <v>93</v>
      </c>
      <c r="B13" s="38" t="s">
        <v>91</v>
      </c>
      <c r="C13" s="38" t="s">
        <v>97</v>
      </c>
      <c r="D13" s="38" t="s">
        <v>90</v>
      </c>
      <c r="E13" s="38" t="s">
        <v>94</v>
      </c>
      <c r="F13" s="38" t="s">
        <v>98</v>
      </c>
      <c r="G13" s="38" t="s">
        <v>99</v>
      </c>
      <c r="H13" s="38" t="s">
        <v>100</v>
      </c>
      <c r="I13" s="38">
        <v>6475197</v>
      </c>
      <c r="J13" s="38"/>
      <c r="K13" s="38"/>
      <c r="L13" s="38"/>
      <c r="M13" s="38"/>
      <c r="N13" s="75"/>
      <c r="O13" s="75"/>
      <c r="P13" s="83"/>
      <c r="Q13" s="83"/>
      <c r="R13" s="83"/>
      <c r="S13" s="83">
        <v>6475197</v>
      </c>
      <c r="T13" s="83"/>
      <c r="U13" s="83"/>
      <c r="V13" s="83"/>
      <c r="W13" s="75"/>
      <c r="X13" s="155"/>
      <c r="Y13" s="155"/>
      <c r="Z13" s="155"/>
      <c r="AA13" s="155"/>
      <c r="AB13" s="155"/>
      <c r="AC13" s="155"/>
      <c r="AD13" s="155"/>
      <c r="AE13" s="155"/>
      <c r="AF13" s="45"/>
      <c r="AG13"/>
      <c r="AH13"/>
      <c r="AI13"/>
      <c r="AJ13"/>
      <c r="AK13"/>
      <c r="AL13"/>
      <c r="AM13"/>
      <c r="AN13"/>
      <c r="AO13"/>
      <c r="AP13"/>
      <c r="AQ13"/>
      <c r="AR13"/>
      <c r="AS13"/>
      <c r="AT13"/>
      <c r="AU13"/>
    </row>
    <row r="14" spans="1:47" hidden="1">
      <c r="A14" s="40" t="s">
        <v>98</v>
      </c>
      <c r="B14" s="38" t="s">
        <v>80</v>
      </c>
      <c r="C14" s="38" t="s">
        <v>101</v>
      </c>
      <c r="D14" s="38" t="s">
        <v>94</v>
      </c>
      <c r="E14" s="38" t="s">
        <v>90</v>
      </c>
      <c r="F14" s="38" t="s">
        <v>98</v>
      </c>
      <c r="G14" s="38"/>
      <c r="H14" s="38" t="s">
        <v>102</v>
      </c>
      <c r="I14" s="38">
        <v>-2739783.7</v>
      </c>
      <c r="J14" s="38"/>
      <c r="K14" s="38"/>
      <c r="L14" s="38"/>
      <c r="M14" s="38"/>
      <c r="N14" s="75"/>
      <c r="O14" s="75"/>
      <c r="P14" s="83"/>
      <c r="Q14" s="83"/>
      <c r="R14" s="83"/>
      <c r="S14" s="83">
        <v>-2739783.7</v>
      </c>
      <c r="T14" s="83"/>
      <c r="U14" s="83"/>
      <c r="V14" s="83"/>
      <c r="W14" s="75"/>
      <c r="X14" s="155"/>
      <c r="Y14" s="155"/>
      <c r="Z14" s="155"/>
      <c r="AA14" s="155"/>
      <c r="AB14" s="155"/>
      <c r="AC14" s="155"/>
      <c r="AD14" s="155"/>
      <c r="AE14" s="155"/>
      <c r="AF14" s="45"/>
      <c r="AG14"/>
      <c r="AH14"/>
      <c r="AI14"/>
      <c r="AJ14"/>
      <c r="AK14"/>
      <c r="AL14"/>
      <c r="AM14"/>
      <c r="AN14"/>
      <c r="AO14"/>
      <c r="AP14"/>
      <c r="AQ14"/>
      <c r="AR14"/>
      <c r="AS14"/>
      <c r="AT14"/>
      <c r="AU14"/>
    </row>
    <row r="15" spans="1:47" hidden="1">
      <c r="A15" s="40" t="s">
        <v>98</v>
      </c>
      <c r="B15" s="38" t="s">
        <v>80</v>
      </c>
      <c r="C15" s="38" t="s">
        <v>101</v>
      </c>
      <c r="D15" s="38" t="s">
        <v>94</v>
      </c>
      <c r="E15" s="38" t="s">
        <v>90</v>
      </c>
      <c r="F15" s="38" t="s">
        <v>98</v>
      </c>
      <c r="G15" s="38"/>
      <c r="H15" s="38" t="s">
        <v>103</v>
      </c>
      <c r="I15" s="38">
        <v>-9957472</v>
      </c>
      <c r="J15" s="38"/>
      <c r="K15" s="38"/>
      <c r="L15" s="38"/>
      <c r="M15" s="38"/>
      <c r="N15" s="75"/>
      <c r="O15" s="75"/>
      <c r="P15" s="83"/>
      <c r="Q15" s="83"/>
      <c r="R15" s="83"/>
      <c r="S15" s="83">
        <v>-9957472</v>
      </c>
      <c r="T15" s="83"/>
      <c r="U15" s="83"/>
      <c r="V15" s="83"/>
      <c r="W15" s="75"/>
      <c r="X15" s="155"/>
      <c r="Y15" s="155"/>
      <c r="Z15" s="155"/>
      <c r="AA15" s="155"/>
      <c r="AB15" s="155"/>
      <c r="AC15" s="155"/>
      <c r="AD15" s="155"/>
      <c r="AE15" s="155"/>
      <c r="AF15" s="45"/>
      <c r="AG15"/>
      <c r="AH15"/>
      <c r="AI15"/>
      <c r="AJ15"/>
      <c r="AK15"/>
      <c r="AL15"/>
      <c r="AM15"/>
      <c r="AN15"/>
      <c r="AO15"/>
      <c r="AP15"/>
      <c r="AQ15"/>
      <c r="AR15"/>
      <c r="AS15"/>
      <c r="AT15"/>
      <c r="AU15"/>
    </row>
    <row r="16" spans="1:47" hidden="1">
      <c r="A16" s="40" t="s">
        <v>98</v>
      </c>
      <c r="B16" s="38" t="s">
        <v>80</v>
      </c>
      <c r="C16" s="38" t="s">
        <v>95</v>
      </c>
      <c r="D16" s="38" t="s">
        <v>94</v>
      </c>
      <c r="E16" s="38" t="s">
        <v>90</v>
      </c>
      <c r="F16" s="38" t="s">
        <v>93</v>
      </c>
      <c r="G16" s="38"/>
      <c r="H16" s="38" t="s">
        <v>104</v>
      </c>
      <c r="I16" s="38">
        <v>-496655</v>
      </c>
      <c r="J16" s="38"/>
      <c r="K16" s="38"/>
      <c r="L16" s="38"/>
      <c r="M16" s="38"/>
      <c r="N16" s="75"/>
      <c r="O16" s="75"/>
      <c r="P16" s="83"/>
      <c r="Q16" s="83"/>
      <c r="R16" s="83"/>
      <c r="S16" s="83">
        <v>-496655</v>
      </c>
      <c r="T16" s="83"/>
      <c r="U16" s="83"/>
      <c r="V16" s="83"/>
      <c r="W16" s="75"/>
      <c r="X16" s="155"/>
      <c r="Y16" s="155"/>
      <c r="Z16" s="155"/>
      <c r="AA16" s="155"/>
      <c r="AB16" s="155"/>
      <c r="AC16" s="155"/>
      <c r="AD16" s="155"/>
      <c r="AE16" s="155"/>
      <c r="AF16" s="45"/>
      <c r="AG16"/>
      <c r="AH16"/>
      <c r="AI16"/>
      <c r="AJ16"/>
      <c r="AK16"/>
      <c r="AL16"/>
      <c r="AM16"/>
      <c r="AN16"/>
      <c r="AO16"/>
      <c r="AP16"/>
      <c r="AQ16"/>
      <c r="AR16"/>
      <c r="AS16"/>
      <c r="AT16"/>
      <c r="AU16"/>
    </row>
    <row r="17" spans="1:47" hidden="1">
      <c r="A17" s="41" t="s">
        <v>105</v>
      </c>
      <c r="B17" s="42" t="s">
        <v>106</v>
      </c>
      <c r="C17" s="42" t="s">
        <v>107</v>
      </c>
      <c r="D17" s="42" t="s">
        <v>94</v>
      </c>
      <c r="E17" s="42" t="s">
        <v>90</v>
      </c>
      <c r="F17" s="42" t="s">
        <v>105</v>
      </c>
      <c r="G17" s="42"/>
      <c r="H17" s="42" t="s">
        <v>108</v>
      </c>
      <c r="I17" s="42">
        <v>-7432121</v>
      </c>
      <c r="J17" s="42"/>
      <c r="K17" s="42">
        <v>-687045</v>
      </c>
      <c r="L17" s="42"/>
      <c r="M17" s="42"/>
      <c r="N17" s="75">
        <v>-87500</v>
      </c>
      <c r="O17" s="75"/>
      <c r="P17" s="83"/>
      <c r="Q17" s="83"/>
      <c r="R17" s="83"/>
      <c r="S17" s="83"/>
      <c r="T17" s="83">
        <v>-6383937</v>
      </c>
      <c r="U17" s="83"/>
      <c r="V17" s="83"/>
      <c r="W17" s="75"/>
      <c r="X17" s="155"/>
      <c r="Y17" s="155"/>
      <c r="Z17" s="155"/>
      <c r="AA17" s="155">
        <v>-273639</v>
      </c>
      <c r="AB17" s="155"/>
      <c r="AC17" s="155"/>
      <c r="AD17" s="155"/>
      <c r="AE17" s="155"/>
      <c r="AF17" s="45"/>
      <c r="AG17"/>
      <c r="AH17"/>
      <c r="AI17"/>
      <c r="AJ17"/>
      <c r="AK17"/>
      <c r="AL17"/>
      <c r="AM17"/>
      <c r="AN17"/>
      <c r="AO17"/>
      <c r="AP17"/>
      <c r="AQ17"/>
      <c r="AR17"/>
      <c r="AS17"/>
      <c r="AT17"/>
      <c r="AU17"/>
    </row>
    <row r="18" spans="1:47" hidden="1">
      <c r="A18" s="64" t="s">
        <v>110</v>
      </c>
      <c r="B18" s="65" t="s">
        <v>113</v>
      </c>
      <c r="C18" s="65" t="s">
        <v>114</v>
      </c>
      <c r="D18" s="65" t="s">
        <v>94</v>
      </c>
      <c r="E18" s="65" t="s">
        <v>90</v>
      </c>
      <c r="F18" s="65" t="s">
        <v>115</v>
      </c>
      <c r="G18" s="65"/>
      <c r="H18" s="65" t="s">
        <v>116</v>
      </c>
      <c r="I18" s="65">
        <v>-846000</v>
      </c>
      <c r="J18" s="65"/>
      <c r="K18" s="65">
        <v>-846000</v>
      </c>
      <c r="L18" s="65"/>
      <c r="M18" s="65"/>
      <c r="N18" s="75"/>
      <c r="O18" s="75"/>
      <c r="P18" s="83"/>
      <c r="Q18" s="83"/>
      <c r="R18" s="83"/>
      <c r="S18" s="83"/>
      <c r="T18" s="83"/>
      <c r="U18" s="83"/>
      <c r="V18" s="83"/>
      <c r="W18" s="75"/>
      <c r="X18" s="155"/>
      <c r="Y18" s="155"/>
      <c r="Z18" s="155"/>
      <c r="AA18" s="155"/>
      <c r="AB18" s="155"/>
      <c r="AC18" s="155"/>
      <c r="AD18" s="155"/>
      <c r="AE18" s="155"/>
      <c r="AF18" s="45"/>
      <c r="AK18"/>
      <c r="AL18"/>
      <c r="AM18"/>
      <c r="AN18"/>
      <c r="AO18"/>
      <c r="AP18"/>
      <c r="AQ18"/>
      <c r="AR18"/>
      <c r="AS18"/>
      <c r="AT18"/>
      <c r="AU18"/>
    </row>
    <row r="19" spans="1:47" hidden="1">
      <c r="A19" s="72" t="s">
        <v>118</v>
      </c>
      <c r="B19" s="73" t="s">
        <v>113</v>
      </c>
      <c r="C19" s="73" t="s">
        <v>120</v>
      </c>
      <c r="D19" s="73" t="s">
        <v>94</v>
      </c>
      <c r="E19" s="73" t="s">
        <v>90</v>
      </c>
      <c r="F19" s="73" t="s">
        <v>115</v>
      </c>
      <c r="G19" s="73"/>
      <c r="H19" s="73" t="s">
        <v>119</v>
      </c>
      <c r="I19" s="73">
        <v>-2850000</v>
      </c>
      <c r="J19" s="73"/>
      <c r="K19" s="73"/>
      <c r="L19" s="73"/>
      <c r="M19" s="73"/>
      <c r="N19" s="75"/>
      <c r="O19" s="75"/>
      <c r="P19" s="83"/>
      <c r="Q19" s="83"/>
      <c r="R19" s="83"/>
      <c r="S19" s="83"/>
      <c r="T19" s="83">
        <v>-2850000</v>
      </c>
      <c r="U19" s="83"/>
      <c r="V19" s="83"/>
      <c r="W19" s="75"/>
      <c r="X19" s="155"/>
      <c r="Y19" s="155"/>
      <c r="Z19" s="155"/>
      <c r="AA19" s="155"/>
      <c r="AB19" s="155"/>
      <c r="AC19" s="155"/>
      <c r="AD19" s="155"/>
      <c r="AE19" s="155"/>
      <c r="AF19" s="45"/>
      <c r="AK19"/>
      <c r="AL19"/>
      <c r="AM19"/>
      <c r="AN19"/>
      <c r="AO19"/>
      <c r="AP19"/>
      <c r="AQ19"/>
      <c r="AR19"/>
      <c r="AS19"/>
      <c r="AT19"/>
      <c r="AU19"/>
    </row>
    <row r="20" spans="1:47" hidden="1">
      <c r="A20" s="74" t="s">
        <v>115</v>
      </c>
      <c r="B20" s="75" t="s">
        <v>113</v>
      </c>
      <c r="C20" s="75" t="s">
        <v>127</v>
      </c>
      <c r="D20" s="75" t="s">
        <v>94</v>
      </c>
      <c r="E20" s="75" t="s">
        <v>90</v>
      </c>
      <c r="F20" s="75" t="s">
        <v>128</v>
      </c>
      <c r="G20" s="75"/>
      <c r="H20" s="75" t="s">
        <v>119</v>
      </c>
      <c r="I20" s="75">
        <v>-503755</v>
      </c>
      <c r="J20" s="75"/>
      <c r="K20" s="75"/>
      <c r="L20" s="75"/>
      <c r="M20" s="75"/>
      <c r="N20" s="75"/>
      <c r="O20" s="75"/>
      <c r="P20" s="83"/>
      <c r="Q20" s="83"/>
      <c r="R20" s="83"/>
      <c r="S20" s="83"/>
      <c r="T20" s="83">
        <v>-503755</v>
      </c>
      <c r="U20" s="83"/>
      <c r="V20" s="83"/>
      <c r="W20" s="75"/>
      <c r="X20" s="155"/>
      <c r="Y20" s="155"/>
      <c r="Z20" s="155"/>
      <c r="AA20" s="155"/>
      <c r="AB20" s="155"/>
      <c r="AC20" s="155"/>
      <c r="AD20" s="155"/>
      <c r="AE20" s="155"/>
      <c r="AF20" s="45"/>
      <c r="AK20"/>
      <c r="AL20"/>
      <c r="AM20"/>
      <c r="AN20"/>
      <c r="AO20"/>
      <c r="AP20"/>
      <c r="AQ20"/>
      <c r="AR20"/>
      <c r="AS20"/>
      <c r="AT20"/>
      <c r="AU20"/>
    </row>
    <row r="21" spans="1:47" hidden="1">
      <c r="A21" s="78" t="s">
        <v>115</v>
      </c>
      <c r="B21" s="80" t="s">
        <v>117</v>
      </c>
      <c r="C21" s="80" t="s">
        <v>114</v>
      </c>
      <c r="D21" s="80" t="s">
        <v>90</v>
      </c>
      <c r="E21" s="80" t="s">
        <v>94</v>
      </c>
      <c r="F21" s="80" t="s">
        <v>115</v>
      </c>
      <c r="G21" s="80"/>
      <c r="H21" s="80" t="s">
        <v>116</v>
      </c>
      <c r="I21" s="80">
        <v>846000</v>
      </c>
      <c r="J21" s="80"/>
      <c r="K21" s="80">
        <v>846000</v>
      </c>
      <c r="L21" s="80"/>
      <c r="M21" s="80"/>
      <c r="N21" s="75"/>
      <c r="O21" s="75"/>
      <c r="P21" s="83"/>
      <c r="Q21" s="83"/>
      <c r="R21" s="83"/>
      <c r="S21" s="83"/>
      <c r="T21" s="83"/>
      <c r="U21" s="83"/>
      <c r="V21" s="83"/>
      <c r="W21" s="75"/>
      <c r="X21" s="155"/>
      <c r="Y21" s="155"/>
      <c r="Z21" s="155"/>
      <c r="AA21" s="155"/>
      <c r="AB21" s="155"/>
      <c r="AC21" s="155"/>
      <c r="AD21" s="155"/>
      <c r="AE21" s="155"/>
      <c r="AF21" s="45"/>
      <c r="AK21"/>
      <c r="AL21"/>
      <c r="AM21"/>
      <c r="AN21"/>
      <c r="AO21"/>
      <c r="AP21"/>
      <c r="AQ21"/>
      <c r="AR21"/>
      <c r="AS21"/>
      <c r="AT21"/>
      <c r="AU21"/>
    </row>
    <row r="22" spans="1:47" hidden="1">
      <c r="A22" s="79" t="s">
        <v>115</v>
      </c>
      <c r="B22" s="81" t="s">
        <v>117</v>
      </c>
      <c r="C22" s="81" t="s">
        <v>120</v>
      </c>
      <c r="D22" s="81" t="s">
        <v>90</v>
      </c>
      <c r="E22" s="81" t="s">
        <v>94</v>
      </c>
      <c r="F22" s="81" t="s">
        <v>115</v>
      </c>
      <c r="G22" s="81"/>
      <c r="H22" s="81" t="s">
        <v>119</v>
      </c>
      <c r="I22" s="81">
        <v>2850000</v>
      </c>
      <c r="J22" s="81"/>
      <c r="K22" s="81"/>
      <c r="L22" s="81"/>
      <c r="M22" s="81"/>
      <c r="N22" s="75"/>
      <c r="O22" s="75"/>
      <c r="P22" s="83"/>
      <c r="Q22" s="83"/>
      <c r="R22" s="83"/>
      <c r="S22" s="83"/>
      <c r="T22" s="83">
        <v>2850000</v>
      </c>
      <c r="U22" s="83"/>
      <c r="V22" s="83"/>
      <c r="W22" s="75"/>
      <c r="X22" s="155"/>
      <c r="Y22" s="155"/>
      <c r="Z22" s="155"/>
      <c r="AA22" s="155"/>
      <c r="AB22" s="155"/>
      <c r="AC22" s="155"/>
      <c r="AD22" s="155"/>
      <c r="AE22" s="155"/>
      <c r="AF22" s="45"/>
      <c r="AK22"/>
      <c r="AL22"/>
      <c r="AM22"/>
      <c r="AN22"/>
      <c r="AO22"/>
      <c r="AP22"/>
      <c r="AQ22"/>
      <c r="AR22"/>
      <c r="AS22"/>
      <c r="AT22"/>
      <c r="AU22"/>
    </row>
    <row r="23" spans="1:47" hidden="1">
      <c r="A23" s="72" t="s">
        <v>128</v>
      </c>
      <c r="B23" s="73" t="s">
        <v>117</v>
      </c>
      <c r="C23" s="73" t="s">
        <v>127</v>
      </c>
      <c r="D23" s="73" t="s">
        <v>90</v>
      </c>
      <c r="E23" s="73" t="s">
        <v>94</v>
      </c>
      <c r="F23" s="73" t="s">
        <v>128</v>
      </c>
      <c r="G23" s="73"/>
      <c r="H23" s="73" t="s">
        <v>119</v>
      </c>
      <c r="I23" s="73">
        <v>503755</v>
      </c>
      <c r="J23" s="73"/>
      <c r="K23" s="73"/>
      <c r="L23" s="73"/>
      <c r="M23" s="73"/>
      <c r="N23" s="73"/>
      <c r="O23" s="73"/>
      <c r="P23" s="83"/>
      <c r="Q23" s="83"/>
      <c r="R23" s="83"/>
      <c r="S23" s="83"/>
      <c r="T23" s="83">
        <v>503755</v>
      </c>
      <c r="U23" s="83"/>
      <c r="V23" s="83"/>
      <c r="W23" s="75"/>
      <c r="X23" s="155"/>
      <c r="Y23" s="155"/>
      <c r="Z23" s="155"/>
      <c r="AA23" s="155"/>
      <c r="AB23" s="155"/>
      <c r="AC23" s="155"/>
      <c r="AD23" s="155"/>
      <c r="AE23" s="155"/>
      <c r="AF23" s="45"/>
      <c r="AK23"/>
      <c r="AL23"/>
      <c r="AM23"/>
      <c r="AN23"/>
      <c r="AO23"/>
      <c r="AP23"/>
      <c r="AQ23"/>
      <c r="AR23"/>
      <c r="AS23"/>
      <c r="AT23"/>
      <c r="AU23"/>
    </row>
    <row r="24" spans="1:47" hidden="1">
      <c r="A24" s="74" t="s">
        <v>143</v>
      </c>
      <c r="B24" s="75" t="s">
        <v>113</v>
      </c>
      <c r="C24" s="75" t="s">
        <v>144</v>
      </c>
      <c r="D24" s="75" t="s">
        <v>94</v>
      </c>
      <c r="E24" s="75" t="s">
        <v>90</v>
      </c>
      <c r="F24" s="75" t="s">
        <v>145</v>
      </c>
      <c r="G24" s="75" t="s">
        <v>146</v>
      </c>
      <c r="H24" s="75" t="s">
        <v>147</v>
      </c>
      <c r="I24" s="75">
        <v>-10400000</v>
      </c>
      <c r="J24" s="75"/>
      <c r="K24" s="75"/>
      <c r="L24" s="75"/>
      <c r="M24" s="75"/>
      <c r="N24" s="75"/>
      <c r="O24" s="75"/>
      <c r="P24" s="83"/>
      <c r="Q24" s="83"/>
      <c r="R24" s="83"/>
      <c r="S24" s="83">
        <v>-10400000</v>
      </c>
      <c r="T24" s="83"/>
      <c r="U24" s="83"/>
      <c r="V24" s="83"/>
      <c r="W24" s="75"/>
      <c r="X24" s="155"/>
      <c r="Y24" s="155"/>
      <c r="Z24" s="155"/>
      <c r="AA24" s="155"/>
      <c r="AB24" s="155"/>
      <c r="AC24" s="155"/>
      <c r="AD24" s="155"/>
      <c r="AE24" s="155"/>
      <c r="AF24" s="45"/>
      <c r="AK24"/>
      <c r="AL24"/>
      <c r="AM24"/>
      <c r="AN24"/>
      <c r="AO24"/>
      <c r="AP24"/>
      <c r="AQ24"/>
      <c r="AR24"/>
      <c r="AS24"/>
      <c r="AT24"/>
      <c r="AU24"/>
    </row>
    <row r="25" spans="1:47" hidden="1">
      <c r="A25" s="16" t="s">
        <v>145</v>
      </c>
      <c r="B25" s="16" t="s">
        <v>117</v>
      </c>
      <c r="C25" s="16" t="s">
        <v>144</v>
      </c>
      <c r="D25" s="16" t="s">
        <v>90</v>
      </c>
      <c r="E25" s="16" t="s">
        <v>94</v>
      </c>
      <c r="F25" s="16" t="s">
        <v>145</v>
      </c>
      <c r="G25" s="16" t="s">
        <v>146</v>
      </c>
      <c r="H25" s="16" t="s">
        <v>147</v>
      </c>
      <c r="I25" s="16">
        <v>10400000</v>
      </c>
      <c r="T25" s="16">
        <v>10400000</v>
      </c>
      <c r="X25" s="155"/>
      <c r="Y25" s="155"/>
      <c r="Z25" s="155"/>
      <c r="AA25" s="155"/>
      <c r="AB25" s="155"/>
      <c r="AC25" s="155"/>
      <c r="AD25" s="155"/>
      <c r="AE25" s="155"/>
      <c r="AF25" s="45"/>
      <c r="AK25"/>
      <c r="AL25"/>
      <c r="AM25"/>
      <c r="AN25"/>
      <c r="AO25"/>
      <c r="AP25"/>
      <c r="AQ25"/>
      <c r="AR25"/>
      <c r="AS25"/>
      <c r="AT25"/>
      <c r="AU25"/>
    </row>
    <row r="26" spans="1:47" hidden="1">
      <c r="A26" s="16" t="s">
        <v>145</v>
      </c>
      <c r="B26" s="16" t="s">
        <v>136</v>
      </c>
      <c r="C26" s="16" t="s">
        <v>150</v>
      </c>
      <c r="D26" s="16" t="s">
        <v>94</v>
      </c>
      <c r="E26" s="16" t="s">
        <v>90</v>
      </c>
      <c r="F26" s="16" t="s">
        <v>145</v>
      </c>
      <c r="G26" s="16" t="s">
        <v>149</v>
      </c>
      <c r="H26" s="16" t="s">
        <v>151</v>
      </c>
      <c r="I26" s="16">
        <v>-2549262</v>
      </c>
      <c r="N26" s="92"/>
      <c r="O26" s="92"/>
      <c r="P26" s="92"/>
      <c r="Q26" s="92"/>
      <c r="R26" s="92"/>
      <c r="S26" s="92"/>
      <c r="T26" s="92"/>
      <c r="U26" s="92">
        <v>-2549262</v>
      </c>
      <c r="V26" s="92"/>
      <c r="W26" s="92"/>
      <c r="X26" s="155"/>
      <c r="Y26" s="155"/>
      <c r="Z26" s="155"/>
      <c r="AA26" s="155"/>
      <c r="AB26" s="155"/>
      <c r="AC26" s="155"/>
      <c r="AD26" s="155"/>
      <c r="AE26" s="155"/>
      <c r="AF26" s="45"/>
      <c r="AK26"/>
      <c r="AL26"/>
      <c r="AM26"/>
      <c r="AN26"/>
      <c r="AO26"/>
      <c r="AP26"/>
      <c r="AQ26"/>
      <c r="AR26"/>
      <c r="AS26"/>
      <c r="AT26"/>
      <c r="AU26"/>
    </row>
    <row r="27" spans="1:47" hidden="1">
      <c r="A27" s="16" t="s">
        <v>154</v>
      </c>
      <c r="B27" s="16" t="s">
        <v>91</v>
      </c>
      <c r="C27" s="16" t="s">
        <v>155</v>
      </c>
      <c r="D27" s="16" t="s">
        <v>94</v>
      </c>
      <c r="E27" s="16" t="s">
        <v>90</v>
      </c>
      <c r="F27" s="16" t="s">
        <v>135</v>
      </c>
      <c r="G27" s="16" t="s">
        <v>157</v>
      </c>
      <c r="H27" s="16" t="s">
        <v>156</v>
      </c>
      <c r="I27" s="16">
        <v>-2945941.06</v>
      </c>
      <c r="N27" s="92"/>
      <c r="O27" s="92"/>
      <c r="P27" s="92">
        <v>-2945941.06</v>
      </c>
      <c r="Q27" s="92"/>
      <c r="R27" s="92"/>
      <c r="S27" s="92"/>
      <c r="T27" s="92"/>
      <c r="U27" s="92"/>
      <c r="V27" s="92"/>
      <c r="W27" s="92"/>
      <c r="X27" s="155"/>
      <c r="Y27" s="155"/>
      <c r="Z27" s="155"/>
      <c r="AA27" s="155"/>
      <c r="AB27" s="155"/>
      <c r="AC27" s="155"/>
      <c r="AD27" s="155"/>
      <c r="AE27" s="155"/>
      <c r="AF27" s="45"/>
      <c r="AK27"/>
      <c r="AL27"/>
      <c r="AM27"/>
      <c r="AN27"/>
      <c r="AO27"/>
      <c r="AP27"/>
      <c r="AQ27"/>
      <c r="AR27"/>
      <c r="AS27"/>
      <c r="AT27"/>
      <c r="AU27"/>
    </row>
    <row r="28" spans="1:47" hidden="1">
      <c r="A28" s="93" t="s">
        <v>135</v>
      </c>
      <c r="B28" s="93" t="s">
        <v>113</v>
      </c>
      <c r="C28" s="93" t="s">
        <v>200</v>
      </c>
      <c r="D28" s="93" t="s">
        <v>94</v>
      </c>
      <c r="E28" s="93" t="s">
        <v>90</v>
      </c>
      <c r="F28" s="93" t="s">
        <v>172</v>
      </c>
      <c r="G28" s="93" t="s">
        <v>201</v>
      </c>
      <c r="H28" s="93" t="s">
        <v>202</v>
      </c>
      <c r="I28" s="93">
        <v>-1066420</v>
      </c>
      <c r="J28" s="93"/>
      <c r="K28" s="93"/>
      <c r="L28" s="93"/>
      <c r="M28" s="93"/>
      <c r="N28" s="94"/>
      <c r="O28" s="94"/>
      <c r="P28" s="94"/>
      <c r="Q28" s="94"/>
      <c r="R28" s="94"/>
      <c r="S28" s="94"/>
      <c r="T28" s="94"/>
      <c r="U28" s="94"/>
      <c r="V28" s="94"/>
      <c r="W28" s="94"/>
      <c r="X28" s="155"/>
      <c r="Y28" s="155"/>
      <c r="Z28" s="155"/>
      <c r="AA28" s="155"/>
      <c r="AB28" s="155">
        <v>-82343.06</v>
      </c>
      <c r="AC28" s="155">
        <v>-66845.19</v>
      </c>
      <c r="AD28" s="155"/>
      <c r="AE28" s="155">
        <v>-917231.75</v>
      </c>
      <c r="AF28" s="45"/>
      <c r="AK28"/>
      <c r="AL28"/>
      <c r="AM28"/>
      <c r="AN28"/>
      <c r="AO28"/>
      <c r="AP28"/>
      <c r="AQ28"/>
      <c r="AR28"/>
      <c r="AS28"/>
      <c r="AT28"/>
      <c r="AU28"/>
    </row>
    <row r="29" spans="1:47" hidden="1">
      <c r="A29" s="98" t="s">
        <v>135</v>
      </c>
      <c r="B29" s="98" t="s">
        <v>113</v>
      </c>
      <c r="C29" s="98" t="s">
        <v>200</v>
      </c>
      <c r="D29" s="98" t="s">
        <v>94</v>
      </c>
      <c r="E29" s="98" t="s">
        <v>90</v>
      </c>
      <c r="F29" s="98" t="s">
        <v>203</v>
      </c>
      <c r="G29" s="98" t="s">
        <v>201</v>
      </c>
      <c r="H29" s="98" t="s">
        <v>202</v>
      </c>
      <c r="I29" s="98">
        <v>-1066419</v>
      </c>
      <c r="J29" s="98"/>
      <c r="K29" s="98"/>
      <c r="L29" s="98"/>
      <c r="M29" s="98"/>
      <c r="N29" s="99"/>
      <c r="O29" s="99"/>
      <c r="P29" s="99"/>
      <c r="Q29" s="99"/>
      <c r="R29" s="99"/>
      <c r="S29" s="99"/>
      <c r="T29" s="99"/>
      <c r="U29" s="99"/>
      <c r="V29" s="99"/>
      <c r="W29" s="99"/>
      <c r="X29" s="155"/>
      <c r="Y29" s="155"/>
      <c r="Z29" s="155"/>
      <c r="AA29" s="155"/>
      <c r="AB29" s="155">
        <v>-82343.06</v>
      </c>
      <c r="AC29" s="155">
        <v>-66845.19</v>
      </c>
      <c r="AD29" s="155"/>
      <c r="AE29" s="155">
        <v>-917230.75</v>
      </c>
      <c r="AF29" s="45"/>
      <c r="AK29"/>
      <c r="AL29"/>
      <c r="AM29"/>
      <c r="AN29"/>
      <c r="AO29"/>
      <c r="AP29"/>
      <c r="AQ29"/>
      <c r="AR29"/>
      <c r="AS29"/>
      <c r="AT29"/>
      <c r="AU29"/>
    </row>
    <row r="30" spans="1:47" hidden="1">
      <c r="A30" s="171" t="s">
        <v>135</v>
      </c>
      <c r="B30" s="171" t="s">
        <v>113</v>
      </c>
      <c r="C30" s="171" t="s">
        <v>204</v>
      </c>
      <c r="D30" s="171" t="s">
        <v>94</v>
      </c>
      <c r="E30" s="171" t="s">
        <v>90</v>
      </c>
      <c r="F30" s="171" t="s">
        <v>171</v>
      </c>
      <c r="G30" s="171" t="s">
        <v>207</v>
      </c>
      <c r="H30" s="171" t="s">
        <v>119</v>
      </c>
      <c r="I30" s="171">
        <v>-2100000</v>
      </c>
      <c r="J30" s="171"/>
      <c r="K30" s="171"/>
      <c r="L30" s="171"/>
      <c r="M30" s="171"/>
      <c r="N30" s="172"/>
      <c r="O30" s="172"/>
      <c r="P30" s="172"/>
      <c r="Q30" s="172">
        <v>-2100000</v>
      </c>
      <c r="R30" s="172"/>
      <c r="S30" s="172"/>
      <c r="T30" s="172"/>
      <c r="U30" s="172"/>
      <c r="V30" s="172"/>
      <c r="W30" s="172"/>
      <c r="X30" s="172"/>
      <c r="Y30" s="172"/>
      <c r="Z30" s="172"/>
      <c r="AA30" s="172"/>
      <c r="AB30" s="172"/>
      <c r="AC30" s="172"/>
      <c r="AD30" s="172"/>
      <c r="AE30" s="172"/>
      <c r="AF30" s="45"/>
      <c r="AK30"/>
      <c r="AL30"/>
      <c r="AM30"/>
      <c r="AN30"/>
      <c r="AO30"/>
      <c r="AP30"/>
      <c r="AQ30"/>
      <c r="AR30"/>
      <c r="AS30"/>
      <c r="AT30"/>
      <c r="AU30"/>
    </row>
    <row r="31" spans="1:47" hidden="1">
      <c r="A31" s="171" t="s">
        <v>135</v>
      </c>
      <c r="B31" s="171" t="s">
        <v>113</v>
      </c>
      <c r="C31" s="171" t="s">
        <v>204</v>
      </c>
      <c r="D31" s="171" t="s">
        <v>94</v>
      </c>
      <c r="E31" s="171" t="s">
        <v>90</v>
      </c>
      <c r="F31" s="171" t="s">
        <v>171</v>
      </c>
      <c r="G31" s="171" t="s">
        <v>208</v>
      </c>
      <c r="H31" s="171" t="s">
        <v>119</v>
      </c>
      <c r="I31" s="171">
        <v>-379473.86</v>
      </c>
      <c r="J31" s="171"/>
      <c r="K31" s="171"/>
      <c r="L31" s="171"/>
      <c r="M31" s="171"/>
      <c r="N31" s="172"/>
      <c r="O31" s="172">
        <v>-379473.86</v>
      </c>
      <c r="P31" s="172"/>
      <c r="Q31" s="172"/>
      <c r="R31" s="172"/>
      <c r="S31" s="172"/>
      <c r="T31" s="172"/>
      <c r="U31" s="172"/>
      <c r="V31" s="172"/>
      <c r="W31" s="172"/>
      <c r="X31" s="172"/>
      <c r="Y31" s="172"/>
      <c r="Z31" s="172"/>
      <c r="AA31" s="172"/>
      <c r="AB31" s="172"/>
      <c r="AC31" s="172"/>
      <c r="AD31" s="172"/>
      <c r="AE31" s="172"/>
      <c r="AF31" s="45"/>
      <c r="AK31"/>
      <c r="AL31"/>
      <c r="AM31"/>
      <c r="AN31"/>
      <c r="AO31"/>
      <c r="AP31"/>
      <c r="AQ31"/>
      <c r="AR31"/>
      <c r="AS31"/>
      <c r="AT31"/>
      <c r="AU31"/>
    </row>
    <row r="32" spans="1:47" hidden="1">
      <c r="A32" s="171" t="s">
        <v>135</v>
      </c>
      <c r="B32" s="171" t="s">
        <v>113</v>
      </c>
      <c r="C32" s="171" t="s">
        <v>204</v>
      </c>
      <c r="D32" s="171" t="s">
        <v>94</v>
      </c>
      <c r="E32" s="171" t="s">
        <v>90</v>
      </c>
      <c r="F32" s="171" t="s">
        <v>171</v>
      </c>
      <c r="G32" s="171" t="s">
        <v>205</v>
      </c>
      <c r="H32" s="171" t="s">
        <v>206</v>
      </c>
      <c r="I32" s="171">
        <v>-232575</v>
      </c>
      <c r="J32" s="171"/>
      <c r="K32" s="171"/>
      <c r="L32" s="171"/>
      <c r="M32" s="171"/>
      <c r="N32" s="172"/>
      <c r="O32" s="172"/>
      <c r="P32" s="172"/>
      <c r="Q32" s="172"/>
      <c r="R32" s="172"/>
      <c r="S32" s="172"/>
      <c r="T32" s="172"/>
      <c r="U32" s="172"/>
      <c r="V32" s="172"/>
      <c r="W32" s="172"/>
      <c r="X32" s="172"/>
      <c r="Y32" s="172"/>
      <c r="Z32" s="172">
        <v>-232575</v>
      </c>
      <c r="AA32" s="172"/>
      <c r="AB32" s="172"/>
      <c r="AC32" s="172"/>
      <c r="AD32" s="172"/>
      <c r="AE32" s="172"/>
      <c r="AF32" s="45"/>
      <c r="AK32"/>
      <c r="AL32"/>
      <c r="AM32"/>
      <c r="AN32"/>
      <c r="AO32"/>
      <c r="AP32"/>
      <c r="AQ32"/>
      <c r="AR32"/>
      <c r="AS32"/>
      <c r="AT32"/>
      <c r="AU32"/>
    </row>
    <row r="33" spans="1:47" hidden="1">
      <c r="A33" s="171" t="s">
        <v>135</v>
      </c>
      <c r="B33" s="171" t="s">
        <v>117</v>
      </c>
      <c r="C33" s="171" t="s">
        <v>155</v>
      </c>
      <c r="D33" s="171" t="s">
        <v>90</v>
      </c>
      <c r="E33" s="171" t="s">
        <v>94</v>
      </c>
      <c r="F33" s="171" t="s">
        <v>135</v>
      </c>
      <c r="G33" s="171" t="s">
        <v>157</v>
      </c>
      <c r="H33" s="171" t="s">
        <v>156</v>
      </c>
      <c r="I33" s="171">
        <v>2945941.06</v>
      </c>
      <c r="J33" s="171"/>
      <c r="K33" s="171"/>
      <c r="L33" s="171"/>
      <c r="M33" s="171"/>
      <c r="N33" s="172"/>
      <c r="O33" s="172"/>
      <c r="P33" s="172">
        <v>2945941.06</v>
      </c>
      <c r="Q33" s="172"/>
      <c r="R33" s="172"/>
      <c r="S33" s="172"/>
      <c r="T33" s="172"/>
      <c r="U33" s="172"/>
      <c r="V33" s="172"/>
      <c r="W33" s="172"/>
      <c r="X33" s="172"/>
      <c r="Y33" s="172"/>
      <c r="Z33" s="172"/>
      <c r="AA33" s="172"/>
      <c r="AB33" s="172"/>
      <c r="AC33" s="172"/>
      <c r="AD33" s="172"/>
      <c r="AE33" s="172"/>
      <c r="AF33" s="45"/>
      <c r="AK33"/>
      <c r="AL33"/>
      <c r="AM33"/>
      <c r="AN33"/>
      <c r="AO33"/>
      <c r="AP33"/>
      <c r="AQ33"/>
      <c r="AR33"/>
      <c r="AS33"/>
      <c r="AT33"/>
      <c r="AU33"/>
    </row>
    <row r="34" spans="1:47" hidden="1">
      <c r="A34" s="171" t="s">
        <v>171</v>
      </c>
      <c r="B34" s="171" t="s">
        <v>113</v>
      </c>
      <c r="C34" s="171" t="s">
        <v>212</v>
      </c>
      <c r="D34" s="171" t="s">
        <v>94</v>
      </c>
      <c r="E34" s="171" t="s">
        <v>90</v>
      </c>
      <c r="F34" s="171" t="s">
        <v>203</v>
      </c>
      <c r="G34" s="171" t="s">
        <v>213</v>
      </c>
      <c r="H34" s="171" t="s">
        <v>156</v>
      </c>
      <c r="I34" s="171">
        <v>-2745366.96</v>
      </c>
      <c r="J34" s="171"/>
      <c r="K34" s="171"/>
      <c r="L34" s="171"/>
      <c r="M34" s="171"/>
      <c r="N34" s="172"/>
      <c r="O34" s="172">
        <v>-379474</v>
      </c>
      <c r="P34" s="172"/>
      <c r="Q34" s="172">
        <v>-2365892.96</v>
      </c>
      <c r="R34" s="172"/>
      <c r="S34" s="172"/>
      <c r="T34" s="172"/>
      <c r="U34" s="172"/>
      <c r="V34" s="172"/>
      <c r="W34" s="172"/>
      <c r="X34" s="172"/>
      <c r="Y34" s="172"/>
      <c r="Z34" s="172"/>
      <c r="AA34" s="172"/>
      <c r="AB34" s="172"/>
      <c r="AC34" s="172"/>
      <c r="AD34" s="172"/>
      <c r="AE34" s="172"/>
      <c r="AF34" s="45"/>
      <c r="AK34"/>
      <c r="AL34"/>
      <c r="AM34"/>
      <c r="AN34"/>
      <c r="AO34"/>
      <c r="AP34"/>
      <c r="AQ34"/>
      <c r="AR34"/>
      <c r="AS34"/>
      <c r="AT34"/>
      <c r="AU34"/>
    </row>
    <row r="35" spans="1:47" hidden="1">
      <c r="A35" s="171" t="s">
        <v>171</v>
      </c>
      <c r="B35" s="171" t="s">
        <v>113</v>
      </c>
      <c r="C35" s="171" t="s">
        <v>214</v>
      </c>
      <c r="D35" s="171" t="s">
        <v>94</v>
      </c>
      <c r="E35" s="171" t="s">
        <v>90</v>
      </c>
      <c r="F35" s="171" t="s">
        <v>203</v>
      </c>
      <c r="G35" s="171" t="s">
        <v>213</v>
      </c>
      <c r="H35" s="171" t="s">
        <v>215</v>
      </c>
      <c r="I35" s="171">
        <v>-1579575</v>
      </c>
      <c r="J35" s="171"/>
      <c r="K35" s="171"/>
      <c r="L35" s="171"/>
      <c r="M35" s="171"/>
      <c r="N35" s="172"/>
      <c r="O35" s="172"/>
      <c r="P35" s="172"/>
      <c r="Q35" s="172"/>
      <c r="R35" s="172"/>
      <c r="S35" s="172"/>
      <c r="T35" s="172"/>
      <c r="U35" s="172"/>
      <c r="V35" s="172"/>
      <c r="W35" s="172"/>
      <c r="X35" s="172"/>
      <c r="Y35" s="172"/>
      <c r="Z35" s="172">
        <v>-1579575</v>
      </c>
      <c r="AA35" s="172"/>
      <c r="AB35" s="172"/>
      <c r="AC35" s="172"/>
      <c r="AD35" s="172"/>
      <c r="AE35" s="172"/>
      <c r="AF35" s="45"/>
      <c r="AK35"/>
      <c r="AL35"/>
      <c r="AM35"/>
      <c r="AN35"/>
      <c r="AO35"/>
      <c r="AP35"/>
      <c r="AQ35"/>
      <c r="AR35"/>
      <c r="AS35"/>
      <c r="AT35"/>
      <c r="AU35"/>
    </row>
    <row r="36" spans="1:47" hidden="1">
      <c r="A36" s="171" t="s">
        <v>171</v>
      </c>
      <c r="B36" s="171" t="s">
        <v>117</v>
      </c>
      <c r="C36" s="171" t="s">
        <v>204</v>
      </c>
      <c r="D36" s="171" t="s">
        <v>90</v>
      </c>
      <c r="E36" s="171" t="s">
        <v>94</v>
      </c>
      <c r="F36" s="171" t="s">
        <v>171</v>
      </c>
      <c r="G36" s="171" t="s">
        <v>207</v>
      </c>
      <c r="H36" s="171" t="s">
        <v>119</v>
      </c>
      <c r="I36" s="171">
        <v>2100000</v>
      </c>
      <c r="J36" s="171"/>
      <c r="K36" s="171"/>
      <c r="L36" s="171"/>
      <c r="M36" s="171"/>
      <c r="N36" s="172"/>
      <c r="O36" s="172"/>
      <c r="P36" s="172"/>
      <c r="Q36" s="172">
        <v>2100000</v>
      </c>
      <c r="R36" s="172"/>
      <c r="S36" s="172"/>
      <c r="T36" s="172"/>
      <c r="U36" s="172"/>
      <c r="V36" s="172"/>
      <c r="W36" s="172"/>
      <c r="X36" s="172"/>
      <c r="Y36" s="172"/>
      <c r="Z36" s="172"/>
      <c r="AA36" s="172"/>
      <c r="AB36" s="172"/>
      <c r="AC36" s="172"/>
      <c r="AD36" s="172"/>
      <c r="AE36" s="172"/>
      <c r="AF36" s="45"/>
      <c r="AK36"/>
      <c r="AL36"/>
      <c r="AM36"/>
      <c r="AN36"/>
      <c r="AO36"/>
      <c r="AP36"/>
      <c r="AQ36"/>
      <c r="AR36"/>
      <c r="AS36"/>
      <c r="AT36"/>
      <c r="AU36"/>
    </row>
    <row r="37" spans="1:47" hidden="1">
      <c r="A37" s="171" t="s">
        <v>171</v>
      </c>
      <c r="B37" s="171" t="s">
        <v>117</v>
      </c>
      <c r="C37" s="171" t="s">
        <v>204</v>
      </c>
      <c r="D37" s="171" t="s">
        <v>90</v>
      </c>
      <c r="E37" s="171" t="s">
        <v>94</v>
      </c>
      <c r="F37" s="171" t="s">
        <v>171</v>
      </c>
      <c r="G37" s="171" t="s">
        <v>208</v>
      </c>
      <c r="H37" s="171" t="s">
        <v>119</v>
      </c>
      <c r="I37" s="171">
        <v>379473.86</v>
      </c>
      <c r="J37" s="171"/>
      <c r="K37" s="171"/>
      <c r="L37" s="171"/>
      <c r="M37" s="171"/>
      <c r="N37" s="172"/>
      <c r="O37" s="172">
        <v>379473.86</v>
      </c>
      <c r="P37" s="172"/>
      <c r="Q37" s="172"/>
      <c r="R37" s="172"/>
      <c r="S37" s="172"/>
      <c r="T37" s="172"/>
      <c r="U37" s="172"/>
      <c r="V37" s="172"/>
      <c r="W37" s="172"/>
      <c r="X37" s="172"/>
      <c r="Y37" s="172"/>
      <c r="Z37" s="172"/>
      <c r="AA37" s="172"/>
      <c r="AB37" s="172"/>
      <c r="AC37" s="172"/>
      <c r="AD37" s="172"/>
      <c r="AE37" s="172"/>
      <c r="AF37" s="45"/>
      <c r="AK37"/>
      <c r="AL37"/>
      <c r="AM37"/>
      <c r="AN37"/>
      <c r="AO37"/>
      <c r="AP37"/>
      <c r="AQ37"/>
      <c r="AR37"/>
      <c r="AS37"/>
      <c r="AT37"/>
      <c r="AU37"/>
    </row>
    <row r="38" spans="1:47" hidden="1">
      <c r="A38" s="16" t="s">
        <v>171</v>
      </c>
      <c r="B38" s="16" t="s">
        <v>117</v>
      </c>
      <c r="C38" s="16" t="s">
        <v>204</v>
      </c>
      <c r="D38" s="16" t="s">
        <v>90</v>
      </c>
      <c r="E38" s="16" t="s">
        <v>94</v>
      </c>
      <c r="F38" s="16" t="s">
        <v>171</v>
      </c>
      <c r="G38" s="16" t="s">
        <v>205</v>
      </c>
      <c r="H38" s="16" t="s">
        <v>206</v>
      </c>
      <c r="I38" s="16">
        <v>232575</v>
      </c>
      <c r="N38" s="75"/>
      <c r="O38" s="75"/>
      <c r="P38" s="75"/>
      <c r="Q38" s="75"/>
      <c r="R38" s="75"/>
      <c r="S38" s="75"/>
      <c r="T38" s="75"/>
      <c r="U38" s="75"/>
      <c r="V38" s="75"/>
      <c r="W38" s="75"/>
      <c r="X38" s="75"/>
      <c r="Y38" s="75"/>
      <c r="Z38" s="75">
        <v>232575</v>
      </c>
      <c r="AA38" s="75"/>
      <c r="AB38" s="75"/>
      <c r="AC38" s="75"/>
      <c r="AD38" s="75"/>
      <c r="AE38" s="75"/>
      <c r="AF38" s="45"/>
      <c r="AK38"/>
      <c r="AL38"/>
      <c r="AM38"/>
      <c r="AN38"/>
      <c r="AO38"/>
      <c r="AP38"/>
      <c r="AQ38"/>
      <c r="AR38"/>
      <c r="AS38"/>
      <c r="AT38"/>
      <c r="AU38"/>
    </row>
    <row r="39" spans="1:47" hidden="1">
      <c r="A39" s="185" t="s">
        <v>172</v>
      </c>
      <c r="B39" s="185" t="s">
        <v>113</v>
      </c>
      <c r="C39" s="185" t="s">
        <v>229</v>
      </c>
      <c r="D39" s="185" t="s">
        <v>94</v>
      </c>
      <c r="E39" s="185" t="s">
        <v>90</v>
      </c>
      <c r="F39" s="185" t="s">
        <v>203</v>
      </c>
      <c r="G39" s="185" t="s">
        <v>230</v>
      </c>
      <c r="H39" s="185" t="s">
        <v>231</v>
      </c>
      <c r="I39" s="185">
        <v>-107450.7</v>
      </c>
      <c r="J39" s="185"/>
      <c r="K39" s="185"/>
      <c r="L39" s="185"/>
      <c r="M39" s="185"/>
      <c r="N39" s="186"/>
      <c r="O39" s="186"/>
      <c r="P39" s="186"/>
      <c r="Q39" s="186"/>
      <c r="R39" s="186"/>
      <c r="S39" s="186"/>
      <c r="T39" s="186"/>
      <c r="U39" s="186"/>
      <c r="V39" s="186"/>
      <c r="W39" s="186"/>
      <c r="X39" s="186"/>
      <c r="Y39" s="186"/>
      <c r="Z39" s="186"/>
      <c r="AA39" s="186"/>
      <c r="AB39" s="186"/>
      <c r="AC39" s="186"/>
      <c r="AD39" s="186"/>
      <c r="AE39" s="186">
        <v>-107450.7</v>
      </c>
      <c r="AF39" s="45"/>
      <c r="AK39"/>
      <c r="AL39"/>
      <c r="AM39"/>
      <c r="AN39"/>
      <c r="AO39"/>
      <c r="AP39"/>
      <c r="AQ39"/>
      <c r="AR39"/>
      <c r="AS39"/>
      <c r="AT39"/>
      <c r="AU39"/>
    </row>
    <row r="40" spans="1:47" hidden="1">
      <c r="A40" s="185" t="s">
        <v>172</v>
      </c>
      <c r="B40" s="185" t="s">
        <v>113</v>
      </c>
      <c r="C40" s="185" t="s">
        <v>229</v>
      </c>
      <c r="D40" s="185" t="s">
        <v>94</v>
      </c>
      <c r="E40" s="185" t="s">
        <v>90</v>
      </c>
      <c r="F40" s="185" t="s">
        <v>203</v>
      </c>
      <c r="G40" s="185" t="s">
        <v>219</v>
      </c>
      <c r="H40" s="185" t="s">
        <v>237</v>
      </c>
      <c r="I40" s="185">
        <v>-172.44</v>
      </c>
      <c r="J40" s="185"/>
      <c r="K40" s="185"/>
      <c r="L40" s="185"/>
      <c r="M40" s="185"/>
      <c r="N40" s="186"/>
      <c r="O40" s="186"/>
      <c r="P40" s="186"/>
      <c r="Q40" s="186">
        <v>-172.44</v>
      </c>
      <c r="R40" s="186"/>
      <c r="S40" s="186"/>
      <c r="T40" s="186"/>
      <c r="U40" s="186"/>
      <c r="V40" s="186"/>
      <c r="W40" s="186"/>
      <c r="X40" s="186"/>
      <c r="Y40" s="186"/>
      <c r="Z40" s="186"/>
      <c r="AA40" s="186"/>
      <c r="AB40" s="186"/>
      <c r="AC40" s="186"/>
      <c r="AD40" s="186"/>
      <c r="AE40" s="186"/>
      <c r="AF40" s="45"/>
      <c r="AK40"/>
      <c r="AL40"/>
      <c r="AM40"/>
      <c r="AN40"/>
      <c r="AO40"/>
      <c r="AP40"/>
      <c r="AQ40"/>
      <c r="AR40"/>
      <c r="AS40"/>
      <c r="AT40"/>
      <c r="AU40"/>
    </row>
    <row r="41" spans="1:47" hidden="1">
      <c r="A41" s="185" t="s">
        <v>172</v>
      </c>
      <c r="B41" s="185" t="s">
        <v>113</v>
      </c>
      <c r="C41" s="185" t="s">
        <v>229</v>
      </c>
      <c r="D41" s="185" t="s">
        <v>94</v>
      </c>
      <c r="E41" s="185" t="s">
        <v>90</v>
      </c>
      <c r="F41" s="185" t="s">
        <v>232</v>
      </c>
      <c r="G41" s="185" t="s">
        <v>233</v>
      </c>
      <c r="H41" s="185" t="s">
        <v>215</v>
      </c>
      <c r="I41" s="185">
        <v>-1948934.07</v>
      </c>
      <c r="J41" s="185"/>
      <c r="K41" s="185"/>
      <c r="L41" s="185"/>
      <c r="M41" s="185"/>
      <c r="N41" s="186"/>
      <c r="O41" s="186"/>
      <c r="P41" s="186"/>
      <c r="Q41" s="186"/>
      <c r="R41" s="186"/>
      <c r="S41" s="186"/>
      <c r="T41" s="186"/>
      <c r="U41" s="186"/>
      <c r="V41" s="186"/>
      <c r="W41" s="186"/>
      <c r="X41" s="186"/>
      <c r="Y41" s="186"/>
      <c r="Z41" s="186">
        <v>-1948934.07</v>
      </c>
      <c r="AA41" s="186"/>
      <c r="AB41" s="186"/>
      <c r="AC41" s="186"/>
      <c r="AD41" s="186"/>
      <c r="AE41" s="186"/>
      <c r="AF41" s="45"/>
      <c r="AK41"/>
      <c r="AL41"/>
      <c r="AM41"/>
      <c r="AN41"/>
      <c r="AO41"/>
      <c r="AP41"/>
      <c r="AQ41"/>
      <c r="AR41"/>
      <c r="AS41"/>
      <c r="AT41"/>
      <c r="AU41"/>
    </row>
    <row r="42" spans="1:47" hidden="1">
      <c r="A42" s="185" t="s">
        <v>172</v>
      </c>
      <c r="B42" s="185" t="s">
        <v>117</v>
      </c>
      <c r="C42" s="185" t="s">
        <v>200</v>
      </c>
      <c r="D42" s="185" t="s">
        <v>90</v>
      </c>
      <c r="E42" s="185" t="s">
        <v>94</v>
      </c>
      <c r="F42" s="185" t="s">
        <v>172</v>
      </c>
      <c r="G42" s="185" t="s">
        <v>201</v>
      </c>
      <c r="H42" s="185" t="s">
        <v>202</v>
      </c>
      <c r="I42" s="185">
        <v>1066420</v>
      </c>
      <c r="J42" s="185"/>
      <c r="K42" s="185"/>
      <c r="L42" s="185"/>
      <c r="M42" s="185"/>
      <c r="N42" s="186"/>
      <c r="O42" s="186"/>
      <c r="P42" s="186"/>
      <c r="Q42" s="186"/>
      <c r="R42" s="186"/>
      <c r="S42" s="186"/>
      <c r="T42" s="186"/>
      <c r="U42" s="186"/>
      <c r="V42" s="186"/>
      <c r="W42" s="186"/>
      <c r="X42" s="186"/>
      <c r="Y42" s="186"/>
      <c r="Z42" s="186"/>
      <c r="AA42" s="186"/>
      <c r="AB42" s="186">
        <v>82343.06</v>
      </c>
      <c r="AC42" s="186">
        <v>66845.19</v>
      </c>
      <c r="AD42" s="186"/>
      <c r="AE42" s="186">
        <v>917231.75</v>
      </c>
      <c r="AF42" s="45"/>
      <c r="AK42"/>
      <c r="AL42"/>
      <c r="AM42"/>
      <c r="AN42"/>
      <c r="AO42"/>
      <c r="AP42"/>
      <c r="AQ42"/>
      <c r="AR42"/>
      <c r="AS42"/>
      <c r="AT42"/>
      <c r="AU42"/>
    </row>
    <row r="43" spans="1:47" hidden="1">
      <c r="A43" s="191" t="s">
        <v>172</v>
      </c>
      <c r="B43" s="191" t="s">
        <v>223</v>
      </c>
      <c r="C43" s="191" t="s">
        <v>224</v>
      </c>
      <c r="D43" s="191" t="s">
        <v>90</v>
      </c>
      <c r="E43" s="191" t="s">
        <v>94</v>
      </c>
      <c r="F43" s="191" t="s">
        <v>172</v>
      </c>
      <c r="G43" s="191" t="s">
        <v>220</v>
      </c>
      <c r="H43" s="191" t="s">
        <v>225</v>
      </c>
      <c r="I43" s="191">
        <v>468000</v>
      </c>
      <c r="J43" s="191">
        <v>468000</v>
      </c>
      <c r="K43" s="191"/>
      <c r="L43" s="191"/>
      <c r="M43" s="191"/>
      <c r="N43" s="192"/>
      <c r="O43" s="192"/>
      <c r="P43" s="192"/>
      <c r="Q43" s="192"/>
      <c r="R43" s="192"/>
      <c r="S43" s="192"/>
      <c r="T43" s="192"/>
      <c r="U43" s="192"/>
      <c r="V43" s="192"/>
      <c r="W43" s="192"/>
      <c r="X43" s="192"/>
      <c r="Y43" s="192"/>
      <c r="Z43" s="192"/>
      <c r="AA43" s="192"/>
      <c r="AB43" s="192"/>
      <c r="AC43" s="192"/>
      <c r="AD43" s="192"/>
      <c r="AE43" s="192"/>
      <c r="AF43" s="45"/>
      <c r="AK43"/>
      <c r="AL43"/>
      <c r="AM43"/>
      <c r="AN43"/>
      <c r="AO43"/>
      <c r="AP43"/>
      <c r="AQ43"/>
      <c r="AR43"/>
      <c r="AS43"/>
      <c r="AT43"/>
      <c r="AU43"/>
    </row>
    <row r="44" spans="1:47" hidden="1">
      <c r="A44" s="191" t="s">
        <v>172</v>
      </c>
      <c r="B44" s="191" t="s">
        <v>136</v>
      </c>
      <c r="C44" s="191" t="s">
        <v>224</v>
      </c>
      <c r="D44" s="191" t="s">
        <v>94</v>
      </c>
      <c r="E44" s="191" t="s">
        <v>90</v>
      </c>
      <c r="F44" s="191" t="s">
        <v>172</v>
      </c>
      <c r="G44" s="191" t="s">
        <v>220</v>
      </c>
      <c r="H44" s="191" t="s">
        <v>226</v>
      </c>
      <c r="I44" s="191">
        <v>-520000</v>
      </c>
      <c r="J44" s="191"/>
      <c r="K44" s="191"/>
      <c r="L44" s="191"/>
      <c r="M44" s="191"/>
      <c r="N44" s="192"/>
      <c r="O44" s="192"/>
      <c r="P44" s="192"/>
      <c r="Q44" s="192">
        <v>-520000</v>
      </c>
      <c r="R44" s="192"/>
      <c r="S44" s="192"/>
      <c r="T44" s="192"/>
      <c r="U44" s="192"/>
      <c r="V44" s="192"/>
      <c r="W44" s="192"/>
      <c r="X44" s="192"/>
      <c r="Y44" s="192"/>
      <c r="Z44" s="192"/>
      <c r="AA44" s="192"/>
      <c r="AB44" s="192"/>
      <c r="AC44" s="192"/>
      <c r="AD44" s="192"/>
      <c r="AE44" s="192"/>
      <c r="AF44" s="45"/>
      <c r="AK44"/>
      <c r="AL44"/>
      <c r="AM44"/>
      <c r="AN44"/>
      <c r="AO44"/>
      <c r="AP44"/>
      <c r="AQ44"/>
      <c r="AR44"/>
      <c r="AS44"/>
      <c r="AT44"/>
      <c r="AU44"/>
    </row>
    <row r="45" spans="1:47" hidden="1">
      <c r="A45" s="191" t="s">
        <v>203</v>
      </c>
      <c r="B45" s="191" t="s">
        <v>113</v>
      </c>
      <c r="C45" s="191" t="s">
        <v>289</v>
      </c>
      <c r="D45" s="191" t="s">
        <v>94</v>
      </c>
      <c r="E45" s="191" t="s">
        <v>90</v>
      </c>
      <c r="F45" s="191" t="s">
        <v>232</v>
      </c>
      <c r="G45" s="191" t="s">
        <v>250</v>
      </c>
      <c r="H45" s="191" t="s">
        <v>251</v>
      </c>
      <c r="I45" s="191">
        <v>-1461000</v>
      </c>
      <c r="J45" s="191"/>
      <c r="K45" s="191"/>
      <c r="L45" s="191"/>
      <c r="M45" s="191"/>
      <c r="N45" s="192"/>
      <c r="O45" s="192">
        <v>-1461000</v>
      </c>
      <c r="P45" s="192"/>
      <c r="Q45" s="192"/>
      <c r="R45" s="192"/>
      <c r="S45" s="192"/>
      <c r="T45" s="192"/>
      <c r="U45" s="192"/>
      <c r="V45" s="192"/>
      <c r="W45" s="192"/>
      <c r="X45" s="192"/>
      <c r="Y45" s="192"/>
      <c r="Z45" s="192"/>
      <c r="AA45" s="192"/>
      <c r="AB45" s="192"/>
      <c r="AC45" s="192"/>
      <c r="AD45" s="192"/>
      <c r="AE45" s="192"/>
      <c r="AF45" s="45"/>
      <c r="AK45"/>
      <c r="AL45"/>
      <c r="AM45"/>
      <c r="AN45"/>
      <c r="AO45"/>
      <c r="AP45"/>
      <c r="AQ45"/>
      <c r="AR45"/>
      <c r="AS45"/>
      <c r="AT45"/>
      <c r="AU45"/>
    </row>
    <row r="46" spans="1:47" hidden="1">
      <c r="A46" s="191" t="s">
        <v>203</v>
      </c>
      <c r="B46" s="191" t="s">
        <v>113</v>
      </c>
      <c r="C46" s="191" t="s">
        <v>289</v>
      </c>
      <c r="D46" s="191" t="s">
        <v>94</v>
      </c>
      <c r="E46" s="191" t="s">
        <v>90</v>
      </c>
      <c r="F46" s="191" t="s">
        <v>232</v>
      </c>
      <c r="G46" s="191" t="s">
        <v>252</v>
      </c>
      <c r="H46" s="191" t="s">
        <v>237</v>
      </c>
      <c r="I46" s="191">
        <v>-1140000</v>
      </c>
      <c r="J46" s="191"/>
      <c r="K46" s="191"/>
      <c r="L46" s="191"/>
      <c r="M46" s="191"/>
      <c r="N46" s="192"/>
      <c r="O46" s="192"/>
      <c r="P46" s="192"/>
      <c r="Q46" s="192">
        <v>-1140000</v>
      </c>
      <c r="R46" s="192"/>
      <c r="S46" s="192"/>
      <c r="T46" s="192"/>
      <c r="U46" s="192"/>
      <c r="V46" s="192"/>
      <c r="W46" s="192"/>
      <c r="X46" s="192"/>
      <c r="Y46" s="192"/>
      <c r="Z46" s="192"/>
      <c r="AA46" s="192"/>
      <c r="AB46" s="192"/>
      <c r="AC46" s="192"/>
      <c r="AD46" s="192"/>
      <c r="AE46" s="192"/>
      <c r="AF46" s="45"/>
      <c r="AK46"/>
      <c r="AL46"/>
      <c r="AM46"/>
      <c r="AN46"/>
      <c r="AO46"/>
      <c r="AP46"/>
      <c r="AQ46"/>
      <c r="AR46"/>
      <c r="AS46"/>
      <c r="AT46"/>
      <c r="AU46"/>
    </row>
    <row r="47" spans="1:47" hidden="1">
      <c r="A47" s="191" t="s">
        <v>203</v>
      </c>
      <c r="B47" s="191" t="s">
        <v>113</v>
      </c>
      <c r="C47" s="191" t="s">
        <v>289</v>
      </c>
      <c r="D47" s="191" t="s">
        <v>94</v>
      </c>
      <c r="E47" s="191" t="s">
        <v>90</v>
      </c>
      <c r="F47" s="191" t="s">
        <v>232</v>
      </c>
      <c r="G47" s="191" t="s">
        <v>253</v>
      </c>
      <c r="H47" s="191" t="s">
        <v>215</v>
      </c>
      <c r="I47" s="191">
        <v>-918787.91</v>
      </c>
      <c r="J47" s="191"/>
      <c r="K47" s="191"/>
      <c r="L47" s="191"/>
      <c r="M47" s="191"/>
      <c r="N47" s="192"/>
      <c r="O47" s="192"/>
      <c r="P47" s="192"/>
      <c r="Q47" s="192"/>
      <c r="R47" s="192"/>
      <c r="S47" s="192"/>
      <c r="T47" s="192"/>
      <c r="U47" s="192"/>
      <c r="V47" s="192"/>
      <c r="W47" s="192"/>
      <c r="X47" s="192"/>
      <c r="Y47" s="192"/>
      <c r="Z47" s="192">
        <v>-918787.91</v>
      </c>
      <c r="AA47" s="192"/>
      <c r="AB47" s="192"/>
      <c r="AC47" s="192"/>
      <c r="AD47" s="192"/>
      <c r="AE47" s="192"/>
      <c r="AF47" s="45"/>
      <c r="AK47"/>
      <c r="AL47"/>
      <c r="AM47"/>
      <c r="AN47"/>
      <c r="AO47"/>
      <c r="AP47"/>
      <c r="AQ47"/>
      <c r="AR47"/>
      <c r="AS47"/>
      <c r="AT47"/>
      <c r="AU47"/>
    </row>
    <row r="48" spans="1:47" hidden="1">
      <c r="A48" s="191" t="s">
        <v>203</v>
      </c>
      <c r="B48" s="191" t="s">
        <v>113</v>
      </c>
      <c r="C48" s="191" t="s">
        <v>290</v>
      </c>
      <c r="D48" s="191" t="s">
        <v>94</v>
      </c>
      <c r="E48" s="191" t="s">
        <v>90</v>
      </c>
      <c r="F48" s="191" t="s">
        <v>254</v>
      </c>
      <c r="G48" s="191" t="s">
        <v>255</v>
      </c>
      <c r="H48" s="191" t="s">
        <v>256</v>
      </c>
      <c r="I48" s="191">
        <v>-631796.98</v>
      </c>
      <c r="J48" s="191"/>
      <c r="K48" s="191"/>
      <c r="L48" s="191"/>
      <c r="M48" s="191"/>
      <c r="N48" s="192"/>
      <c r="O48" s="192"/>
      <c r="P48" s="192"/>
      <c r="Q48" s="192"/>
      <c r="R48" s="192"/>
      <c r="S48" s="192">
        <v>-631796.98</v>
      </c>
      <c r="T48" s="192"/>
      <c r="U48" s="192"/>
      <c r="V48" s="192"/>
      <c r="W48" s="192"/>
      <c r="X48" s="192"/>
      <c r="Y48" s="192"/>
      <c r="Z48" s="192"/>
      <c r="AA48" s="192"/>
      <c r="AB48" s="192"/>
      <c r="AC48" s="192"/>
      <c r="AD48" s="192"/>
      <c r="AE48" s="192"/>
      <c r="AF48" s="45"/>
      <c r="AK48"/>
      <c r="AL48"/>
      <c r="AM48"/>
      <c r="AN48"/>
      <c r="AO48"/>
      <c r="AP48"/>
      <c r="AQ48"/>
      <c r="AR48"/>
      <c r="AS48"/>
      <c r="AT48"/>
      <c r="AU48"/>
    </row>
    <row r="49" spans="1:47" hidden="1">
      <c r="A49" s="194" t="s">
        <v>203</v>
      </c>
      <c r="B49" s="194" t="s">
        <v>117</v>
      </c>
      <c r="C49" s="194" t="s">
        <v>200</v>
      </c>
      <c r="D49" s="194" t="s">
        <v>90</v>
      </c>
      <c r="E49" s="194" t="s">
        <v>94</v>
      </c>
      <c r="F49" s="194" t="s">
        <v>203</v>
      </c>
      <c r="G49" s="194" t="s">
        <v>201</v>
      </c>
      <c r="H49" s="194" t="s">
        <v>202</v>
      </c>
      <c r="I49" s="194">
        <v>1066419</v>
      </c>
      <c r="J49" s="194"/>
      <c r="K49" s="194"/>
      <c r="L49" s="194"/>
      <c r="M49" s="194"/>
      <c r="N49" s="195"/>
      <c r="O49" s="195"/>
      <c r="P49" s="195"/>
      <c r="Q49" s="195"/>
      <c r="R49" s="195"/>
      <c r="S49" s="195"/>
      <c r="T49" s="195"/>
      <c r="U49" s="195"/>
      <c r="V49" s="195"/>
      <c r="W49" s="195"/>
      <c r="X49" s="195"/>
      <c r="Y49" s="195"/>
      <c r="Z49" s="195"/>
      <c r="AA49" s="195"/>
      <c r="AB49" s="195">
        <v>82343.06</v>
      </c>
      <c r="AC49" s="195">
        <v>66845.19</v>
      </c>
      <c r="AD49" s="195"/>
      <c r="AE49" s="195">
        <v>917230.75</v>
      </c>
      <c r="AF49" s="45"/>
      <c r="AK49"/>
      <c r="AL49"/>
      <c r="AM49"/>
      <c r="AN49"/>
      <c r="AO49"/>
      <c r="AP49"/>
      <c r="AQ49"/>
      <c r="AR49"/>
      <c r="AS49"/>
      <c r="AT49"/>
      <c r="AU49"/>
    </row>
    <row r="50" spans="1:47" hidden="1">
      <c r="A50" s="194" t="s">
        <v>203</v>
      </c>
      <c r="B50" s="194" t="s">
        <v>117</v>
      </c>
      <c r="C50" s="194" t="s">
        <v>212</v>
      </c>
      <c r="D50" s="194" t="s">
        <v>90</v>
      </c>
      <c r="E50" s="194" t="s">
        <v>94</v>
      </c>
      <c r="F50" s="194" t="s">
        <v>203</v>
      </c>
      <c r="G50" s="194" t="s">
        <v>213</v>
      </c>
      <c r="H50" s="194" t="s">
        <v>156</v>
      </c>
      <c r="I50" s="194">
        <v>2745366.96</v>
      </c>
      <c r="J50" s="194"/>
      <c r="K50" s="194"/>
      <c r="L50" s="194"/>
      <c r="M50" s="194"/>
      <c r="N50" s="195"/>
      <c r="O50" s="195">
        <v>379474</v>
      </c>
      <c r="P50" s="195"/>
      <c r="Q50" s="195">
        <v>2365892.96</v>
      </c>
      <c r="R50" s="195"/>
      <c r="S50" s="195"/>
      <c r="T50" s="195"/>
      <c r="U50" s="195"/>
      <c r="V50" s="195"/>
      <c r="W50" s="195"/>
      <c r="X50" s="195"/>
      <c r="Y50" s="195"/>
      <c r="Z50" s="195"/>
      <c r="AA50" s="195"/>
      <c r="AB50" s="195"/>
      <c r="AC50" s="195"/>
      <c r="AD50" s="195"/>
      <c r="AE50" s="195"/>
      <c r="AF50" s="45"/>
      <c r="AK50"/>
      <c r="AL50"/>
      <c r="AM50"/>
      <c r="AN50"/>
      <c r="AO50"/>
      <c r="AP50"/>
      <c r="AQ50"/>
      <c r="AR50"/>
      <c r="AS50"/>
      <c r="AT50"/>
      <c r="AU50"/>
    </row>
    <row r="51" spans="1:47" hidden="1">
      <c r="A51" s="206" t="s">
        <v>203</v>
      </c>
      <c r="B51" s="206" t="s">
        <v>117</v>
      </c>
      <c r="C51" s="206" t="s">
        <v>214</v>
      </c>
      <c r="D51" s="206" t="s">
        <v>90</v>
      </c>
      <c r="E51" s="206" t="s">
        <v>94</v>
      </c>
      <c r="F51" s="206" t="s">
        <v>203</v>
      </c>
      <c r="G51" s="206" t="s">
        <v>213</v>
      </c>
      <c r="H51" s="206" t="s">
        <v>215</v>
      </c>
      <c r="I51" s="206">
        <v>1579575</v>
      </c>
      <c r="J51" s="206"/>
      <c r="K51" s="206"/>
      <c r="L51" s="206"/>
      <c r="M51" s="206"/>
      <c r="N51" s="207"/>
      <c r="O51" s="207"/>
      <c r="P51" s="207"/>
      <c r="Q51" s="207"/>
      <c r="R51" s="207"/>
      <c r="S51" s="207"/>
      <c r="T51" s="207"/>
      <c r="U51" s="207"/>
      <c r="V51" s="207"/>
      <c r="W51" s="207"/>
      <c r="X51" s="207"/>
      <c r="Y51" s="207"/>
      <c r="Z51" s="207">
        <v>1579575</v>
      </c>
      <c r="AA51" s="207"/>
      <c r="AB51" s="207"/>
      <c r="AC51" s="207"/>
      <c r="AD51" s="207"/>
      <c r="AE51" s="207"/>
      <c r="AF51" s="45"/>
      <c r="AG51" s="16">
        <f>Z46+Table_Query_from_MS_Access_Database[[#This Row],[TAP &gt;200]]</f>
        <v>1579575</v>
      </c>
      <c r="AK51"/>
      <c r="AL51"/>
      <c r="AM51"/>
      <c r="AN51"/>
      <c r="AO51"/>
      <c r="AP51"/>
      <c r="AQ51"/>
      <c r="AR51"/>
      <c r="AS51"/>
      <c r="AT51"/>
      <c r="AU51"/>
    </row>
    <row r="52" spans="1:47" hidden="1">
      <c r="A52" s="206" t="s">
        <v>203</v>
      </c>
      <c r="B52" s="206" t="s">
        <v>117</v>
      </c>
      <c r="C52" s="206" t="s">
        <v>229</v>
      </c>
      <c r="D52" s="206" t="s">
        <v>90</v>
      </c>
      <c r="E52" s="206" t="s">
        <v>94</v>
      </c>
      <c r="F52" s="206" t="s">
        <v>203</v>
      </c>
      <c r="G52" s="206" t="s">
        <v>230</v>
      </c>
      <c r="H52" s="206" t="s">
        <v>231</v>
      </c>
      <c r="I52" s="206">
        <v>107450.7</v>
      </c>
      <c r="J52" s="206"/>
      <c r="K52" s="206"/>
      <c r="L52" s="206"/>
      <c r="M52" s="206"/>
      <c r="N52" s="207"/>
      <c r="O52" s="207"/>
      <c r="P52" s="207"/>
      <c r="Q52" s="207"/>
      <c r="R52" s="207"/>
      <c r="S52" s="207"/>
      <c r="T52" s="207"/>
      <c r="U52" s="207"/>
      <c r="V52" s="207"/>
      <c r="W52" s="207"/>
      <c r="X52" s="207"/>
      <c r="Y52" s="207"/>
      <c r="Z52" s="207"/>
      <c r="AA52" s="207"/>
      <c r="AB52" s="207"/>
      <c r="AC52" s="207"/>
      <c r="AD52" s="207"/>
      <c r="AE52" s="207">
        <v>107450.7</v>
      </c>
      <c r="AF52" s="45"/>
      <c r="AK52"/>
      <c r="AL52"/>
      <c r="AM52"/>
      <c r="AN52"/>
      <c r="AO52"/>
      <c r="AP52"/>
      <c r="AQ52"/>
      <c r="AR52"/>
      <c r="AS52"/>
      <c r="AT52"/>
      <c r="AU52"/>
    </row>
    <row r="53" spans="1:47" hidden="1">
      <c r="A53" s="206" t="s">
        <v>203</v>
      </c>
      <c r="B53" s="206" t="s">
        <v>117</v>
      </c>
      <c r="C53" s="206" t="s">
        <v>229</v>
      </c>
      <c r="D53" s="206" t="s">
        <v>90</v>
      </c>
      <c r="E53" s="206" t="s">
        <v>94</v>
      </c>
      <c r="F53" s="206" t="s">
        <v>203</v>
      </c>
      <c r="G53" s="206" t="s">
        <v>219</v>
      </c>
      <c r="H53" s="206" t="s">
        <v>237</v>
      </c>
      <c r="I53" s="206">
        <v>172.44</v>
      </c>
      <c r="J53" s="206"/>
      <c r="K53" s="206"/>
      <c r="L53" s="206"/>
      <c r="M53" s="206"/>
      <c r="N53" s="207"/>
      <c r="O53" s="207"/>
      <c r="P53" s="207"/>
      <c r="Q53" s="207">
        <v>172.44</v>
      </c>
      <c r="R53" s="207"/>
      <c r="S53" s="207"/>
      <c r="T53" s="207"/>
      <c r="U53" s="207"/>
      <c r="V53" s="207"/>
      <c r="W53" s="207"/>
      <c r="X53" s="207"/>
      <c r="Y53" s="207"/>
      <c r="Z53" s="207"/>
      <c r="AA53" s="207"/>
      <c r="AB53" s="207"/>
      <c r="AC53" s="207"/>
      <c r="AD53" s="207"/>
      <c r="AE53" s="207"/>
      <c r="AF53" s="45"/>
      <c r="AK53"/>
      <c r="AL53"/>
      <c r="AM53"/>
      <c r="AN53"/>
      <c r="AO53"/>
      <c r="AP53"/>
      <c r="AQ53"/>
      <c r="AR53"/>
      <c r="AS53"/>
      <c r="AT53"/>
      <c r="AU53"/>
    </row>
    <row r="54" spans="1:47" hidden="1">
      <c r="A54" s="206" t="s">
        <v>203</v>
      </c>
      <c r="B54" s="206" t="s">
        <v>223</v>
      </c>
      <c r="C54" s="206" t="s">
        <v>248</v>
      </c>
      <c r="D54" s="206" t="s">
        <v>90</v>
      </c>
      <c r="E54" s="206" t="s">
        <v>94</v>
      </c>
      <c r="F54" s="206" t="s">
        <v>203</v>
      </c>
      <c r="G54" s="206" t="s">
        <v>238</v>
      </c>
      <c r="H54" s="206" t="s">
        <v>225</v>
      </c>
      <c r="I54" s="206">
        <v>208000</v>
      </c>
      <c r="J54" s="206">
        <v>208000</v>
      </c>
      <c r="K54" s="206"/>
      <c r="L54" s="206"/>
      <c r="M54" s="206"/>
      <c r="N54" s="207"/>
      <c r="O54" s="207"/>
      <c r="P54" s="207"/>
      <c r="Q54" s="207"/>
      <c r="R54" s="207"/>
      <c r="S54" s="207"/>
      <c r="T54" s="207"/>
      <c r="U54" s="207"/>
      <c r="V54" s="207"/>
      <c r="W54" s="207"/>
      <c r="X54" s="207"/>
      <c r="Y54" s="207"/>
      <c r="Z54" s="207"/>
      <c r="AA54" s="207"/>
      <c r="AB54" s="207"/>
      <c r="AC54" s="207"/>
      <c r="AD54" s="207"/>
      <c r="AE54" s="207"/>
      <c r="AF54" s="45"/>
      <c r="AK54"/>
      <c r="AL54"/>
      <c r="AM54"/>
      <c r="AN54"/>
      <c r="AO54"/>
      <c r="AP54"/>
      <c r="AQ54"/>
      <c r="AR54"/>
      <c r="AS54"/>
      <c r="AT54"/>
      <c r="AU54"/>
    </row>
    <row r="55" spans="1:47" hidden="1">
      <c r="A55" s="206" t="s">
        <v>203</v>
      </c>
      <c r="B55" s="206" t="s">
        <v>136</v>
      </c>
      <c r="C55" s="206" t="s">
        <v>248</v>
      </c>
      <c r="D55" s="206" t="s">
        <v>94</v>
      </c>
      <c r="E55" s="206" t="s">
        <v>90</v>
      </c>
      <c r="F55" s="206" t="s">
        <v>203</v>
      </c>
      <c r="G55" s="206" t="s">
        <v>238</v>
      </c>
      <c r="H55" s="206" t="s">
        <v>249</v>
      </c>
      <c r="I55" s="206">
        <v>-231111.11</v>
      </c>
      <c r="J55" s="206"/>
      <c r="K55" s="206"/>
      <c r="L55" s="206"/>
      <c r="M55" s="206"/>
      <c r="N55" s="207"/>
      <c r="O55" s="207">
        <v>-231111.11</v>
      </c>
      <c r="P55" s="207"/>
      <c r="Q55" s="207"/>
      <c r="R55" s="207"/>
      <c r="S55" s="207"/>
      <c r="T55" s="207"/>
      <c r="U55" s="207"/>
      <c r="V55" s="207"/>
      <c r="W55" s="207"/>
      <c r="X55" s="207"/>
      <c r="Y55" s="207"/>
      <c r="Z55" s="207"/>
      <c r="AA55" s="207"/>
      <c r="AB55" s="207"/>
      <c r="AC55" s="207"/>
      <c r="AD55" s="207"/>
      <c r="AE55" s="207"/>
      <c r="AF55" s="45"/>
      <c r="AK55"/>
      <c r="AL55"/>
      <c r="AM55"/>
      <c r="AN55"/>
      <c r="AO55"/>
      <c r="AP55"/>
      <c r="AQ55"/>
      <c r="AR55"/>
      <c r="AS55"/>
      <c r="AT55"/>
      <c r="AU55"/>
    </row>
    <row r="56" spans="1:47">
      <c r="A56" s="206" t="s">
        <v>232</v>
      </c>
      <c r="B56" s="206" t="s">
        <v>117</v>
      </c>
      <c r="C56" s="206" t="s">
        <v>229</v>
      </c>
      <c r="D56" s="206" t="s">
        <v>90</v>
      </c>
      <c r="E56" s="206" t="s">
        <v>94</v>
      </c>
      <c r="F56" s="206" t="s">
        <v>232</v>
      </c>
      <c r="G56" s="206" t="s">
        <v>233</v>
      </c>
      <c r="H56" s="206" t="s">
        <v>215</v>
      </c>
      <c r="I56" s="206">
        <v>1948934.07</v>
      </c>
      <c r="J56" s="206"/>
      <c r="K56" s="206"/>
      <c r="L56" s="206"/>
      <c r="M56" s="206"/>
      <c r="N56" s="207"/>
      <c r="O56" s="207"/>
      <c r="P56" s="207"/>
      <c r="Q56" s="207"/>
      <c r="R56" s="207"/>
      <c r="S56" s="207"/>
      <c r="T56" s="207"/>
      <c r="U56" s="207"/>
      <c r="V56" s="207"/>
      <c r="W56" s="207"/>
      <c r="X56" s="207"/>
      <c r="Y56" s="207"/>
      <c r="Z56" s="207">
        <v>1948934.07</v>
      </c>
      <c r="AA56" s="207"/>
      <c r="AB56" s="207"/>
      <c r="AC56" s="207"/>
      <c r="AD56" s="207"/>
      <c r="AE56" s="207"/>
      <c r="AF56" s="45"/>
      <c r="AK56"/>
      <c r="AL56"/>
      <c r="AM56"/>
      <c r="AN56"/>
      <c r="AO56"/>
      <c r="AP56"/>
      <c r="AQ56"/>
      <c r="AR56"/>
      <c r="AS56"/>
      <c r="AT56"/>
      <c r="AU56"/>
    </row>
    <row r="57" spans="1:47">
      <c r="A57" s="206" t="s">
        <v>232</v>
      </c>
      <c r="B57" s="206" t="s">
        <v>117</v>
      </c>
      <c r="C57" s="206" t="s">
        <v>289</v>
      </c>
      <c r="D57" s="206" t="s">
        <v>90</v>
      </c>
      <c r="E57" s="206" t="s">
        <v>94</v>
      </c>
      <c r="F57" s="206" t="s">
        <v>232</v>
      </c>
      <c r="G57" s="206" t="s">
        <v>252</v>
      </c>
      <c r="H57" s="206" t="s">
        <v>237</v>
      </c>
      <c r="I57" s="206">
        <v>2601000</v>
      </c>
      <c r="J57" s="206"/>
      <c r="K57" s="206"/>
      <c r="L57" s="206"/>
      <c r="M57" s="206"/>
      <c r="N57" s="207"/>
      <c r="O57" s="207">
        <v>1461000</v>
      </c>
      <c r="P57" s="207"/>
      <c r="Q57" s="207">
        <v>1140000</v>
      </c>
      <c r="R57" s="207"/>
      <c r="S57" s="207"/>
      <c r="T57" s="207"/>
      <c r="U57" s="207"/>
      <c r="V57" s="207"/>
      <c r="W57" s="207"/>
      <c r="X57" s="207"/>
      <c r="Y57" s="207"/>
      <c r="Z57" s="207"/>
      <c r="AA57" s="207"/>
      <c r="AB57" s="207"/>
      <c r="AC57" s="207"/>
      <c r="AD57" s="207"/>
      <c r="AE57" s="207"/>
      <c r="AF57" s="45"/>
      <c r="AK57"/>
      <c r="AL57"/>
      <c r="AM57"/>
      <c r="AN57"/>
      <c r="AO57"/>
      <c r="AP57"/>
      <c r="AQ57"/>
      <c r="AR57"/>
      <c r="AS57"/>
      <c r="AT57"/>
      <c r="AU57"/>
    </row>
    <row r="58" spans="1:47">
      <c r="A58" s="206" t="s">
        <v>232</v>
      </c>
      <c r="B58" s="206" t="s">
        <v>117</v>
      </c>
      <c r="C58" s="206" t="s">
        <v>289</v>
      </c>
      <c r="D58" s="206" t="s">
        <v>90</v>
      </c>
      <c r="E58" s="206" t="s">
        <v>94</v>
      </c>
      <c r="F58" s="206" t="s">
        <v>232</v>
      </c>
      <c r="G58" s="206" t="s">
        <v>253</v>
      </c>
      <c r="H58" s="206" t="s">
        <v>215</v>
      </c>
      <c r="I58" s="206">
        <v>918787.91</v>
      </c>
      <c r="J58" s="206"/>
      <c r="K58" s="206"/>
      <c r="L58" s="206"/>
      <c r="M58" s="206"/>
      <c r="N58" s="207"/>
      <c r="O58" s="207"/>
      <c r="P58" s="207"/>
      <c r="Q58" s="207"/>
      <c r="R58" s="207"/>
      <c r="S58" s="207"/>
      <c r="T58" s="207"/>
      <c r="U58" s="207"/>
      <c r="V58" s="207"/>
      <c r="W58" s="207"/>
      <c r="X58" s="207"/>
      <c r="Y58" s="207"/>
      <c r="Z58" s="207">
        <v>918787.91</v>
      </c>
      <c r="AA58" s="207"/>
      <c r="AB58" s="207"/>
      <c r="AC58" s="207"/>
      <c r="AD58" s="207"/>
      <c r="AE58" s="207"/>
      <c r="AF58" s="45"/>
      <c r="AK58"/>
      <c r="AL58"/>
      <c r="AM58"/>
      <c r="AN58"/>
      <c r="AO58"/>
      <c r="AP58"/>
      <c r="AQ58"/>
      <c r="AR58"/>
      <c r="AS58"/>
      <c r="AT58"/>
      <c r="AU58"/>
    </row>
    <row r="59" spans="1:47">
      <c r="A59" s="206" t="s">
        <v>254</v>
      </c>
      <c r="B59" s="206" t="s">
        <v>117</v>
      </c>
      <c r="C59" s="206" t="s">
        <v>290</v>
      </c>
      <c r="D59" s="206" t="s">
        <v>90</v>
      </c>
      <c r="E59" s="206" t="s">
        <v>94</v>
      </c>
      <c r="F59" s="206" t="s">
        <v>254</v>
      </c>
      <c r="G59" s="206" t="s">
        <v>255</v>
      </c>
      <c r="H59" s="206" t="s">
        <v>256</v>
      </c>
      <c r="I59" s="206">
        <v>631796.98</v>
      </c>
      <c r="J59" s="206"/>
      <c r="K59" s="206"/>
      <c r="L59" s="206"/>
      <c r="M59" s="206"/>
      <c r="N59" s="207"/>
      <c r="O59" s="207"/>
      <c r="P59" s="207"/>
      <c r="Q59" s="207"/>
      <c r="R59" s="207"/>
      <c r="S59" s="207">
        <v>631796.98</v>
      </c>
      <c r="T59" s="207"/>
      <c r="U59" s="207"/>
      <c r="V59" s="207"/>
      <c r="W59" s="207"/>
      <c r="X59" s="207"/>
      <c r="Y59" s="207"/>
      <c r="Z59" s="207"/>
      <c r="AA59" s="207"/>
      <c r="AB59" s="207"/>
      <c r="AC59" s="207"/>
      <c r="AD59" s="207"/>
      <c r="AE59" s="207"/>
      <c r="AF59" s="45"/>
      <c r="AK59"/>
      <c r="AL59"/>
      <c r="AM59"/>
      <c r="AN59"/>
      <c r="AO59"/>
      <c r="AP59"/>
      <c r="AQ59"/>
      <c r="AR59"/>
      <c r="AS59"/>
      <c r="AT59"/>
      <c r="AU59"/>
    </row>
    <row r="60" spans="1:47">
      <c r="A60" s="206"/>
      <c r="B60" s="206"/>
      <c r="C60" s="206"/>
      <c r="D60" s="206"/>
      <c r="E60" s="206"/>
      <c r="F60" s="206"/>
      <c r="G60" s="206"/>
      <c r="H60" s="206"/>
      <c r="I60" s="206"/>
      <c r="J60" s="206"/>
      <c r="K60" s="206"/>
      <c r="L60" s="206"/>
      <c r="M60" s="206"/>
      <c r="N60" s="208"/>
      <c r="O60" s="208"/>
      <c r="P60" s="208"/>
      <c r="Q60" s="208"/>
      <c r="R60" s="208"/>
      <c r="S60" s="208"/>
      <c r="T60" s="208"/>
      <c r="U60" s="208"/>
      <c r="V60" s="208"/>
      <c r="W60" s="208"/>
      <c r="X60" s="208"/>
      <c r="Y60" s="208"/>
      <c r="Z60" s="208"/>
      <c r="AA60" s="208"/>
      <c r="AB60" s="208"/>
      <c r="AC60" s="208"/>
      <c r="AD60" s="208"/>
      <c r="AE60" s="208"/>
      <c r="AF60" s="45"/>
      <c r="AK60"/>
      <c r="AL60"/>
      <c r="AM60"/>
      <c r="AN60"/>
      <c r="AO60"/>
      <c r="AP60"/>
      <c r="AQ60"/>
      <c r="AR60"/>
      <c r="AS60"/>
      <c r="AT60"/>
      <c r="AU60"/>
    </row>
    <row r="61" spans="1:47">
      <c r="A61" s="206"/>
      <c r="B61" s="206"/>
      <c r="C61" s="206"/>
      <c r="D61" s="206"/>
      <c r="E61" s="206"/>
      <c r="F61" s="206"/>
      <c r="G61" s="206"/>
      <c r="H61" s="206"/>
      <c r="I61" s="206"/>
      <c r="J61" s="206"/>
      <c r="K61" s="206"/>
      <c r="L61" s="206"/>
      <c r="M61" s="206"/>
      <c r="N61" s="208"/>
      <c r="O61" s="208"/>
      <c r="P61" s="208"/>
      <c r="Q61" s="208"/>
      <c r="R61" s="208"/>
      <c r="S61" s="208"/>
      <c r="T61" s="208"/>
      <c r="U61" s="208"/>
      <c r="V61" s="208"/>
      <c r="W61" s="208"/>
      <c r="X61" s="208"/>
      <c r="Y61" s="208"/>
      <c r="Z61" s="208"/>
      <c r="AA61" s="208"/>
      <c r="AB61" s="208"/>
      <c r="AC61" s="208"/>
      <c r="AD61" s="208"/>
      <c r="AE61" s="208"/>
      <c r="AF61" s="45"/>
      <c r="AK61"/>
      <c r="AL61"/>
      <c r="AM61"/>
      <c r="AN61"/>
      <c r="AO61"/>
      <c r="AP61"/>
      <c r="AQ61"/>
      <c r="AR61"/>
      <c r="AS61"/>
      <c r="AT61"/>
      <c r="AU61"/>
    </row>
    <row r="62" spans="1:47">
      <c r="A62" s="206"/>
      <c r="B62" s="206"/>
      <c r="C62" s="206"/>
      <c r="D62" s="206"/>
      <c r="E62" s="206"/>
      <c r="F62" s="206"/>
      <c r="G62" s="206"/>
      <c r="H62" s="206"/>
      <c r="I62" s="206"/>
      <c r="J62" s="206"/>
      <c r="K62" s="206"/>
      <c r="L62" s="206"/>
      <c r="M62" s="206"/>
      <c r="N62" s="208"/>
      <c r="O62" s="208"/>
      <c r="P62" s="208"/>
      <c r="Q62" s="208"/>
      <c r="R62" s="208"/>
      <c r="S62" s="208"/>
      <c r="T62" s="208"/>
      <c r="U62" s="208"/>
      <c r="V62" s="208"/>
      <c r="W62" s="208"/>
      <c r="X62" s="208"/>
      <c r="Y62" s="208"/>
      <c r="Z62" s="208"/>
      <c r="AA62" s="208"/>
      <c r="AB62" s="208"/>
      <c r="AC62" s="208"/>
      <c r="AD62" s="208"/>
      <c r="AE62" s="208"/>
      <c r="AF62" s="45"/>
      <c r="AK62"/>
      <c r="AL62"/>
      <c r="AM62"/>
      <c r="AN62"/>
      <c r="AO62"/>
      <c r="AP62"/>
      <c r="AQ62"/>
      <c r="AR62"/>
      <c r="AS62"/>
      <c r="AT62"/>
      <c r="AU62"/>
    </row>
    <row r="63" spans="1:47">
      <c r="A63" s="206"/>
      <c r="B63" s="206"/>
      <c r="C63" s="206"/>
      <c r="D63" s="206"/>
      <c r="E63" s="206"/>
      <c r="F63" s="206"/>
      <c r="G63" s="206"/>
      <c r="H63" s="206"/>
      <c r="I63" s="206"/>
      <c r="J63" s="206"/>
      <c r="K63" s="206"/>
      <c r="L63" s="206"/>
      <c r="M63" s="206"/>
      <c r="N63" s="208"/>
      <c r="O63" s="208"/>
      <c r="P63" s="208"/>
      <c r="Q63" s="208"/>
      <c r="R63" s="208"/>
      <c r="S63" s="208"/>
      <c r="T63" s="208"/>
      <c r="U63" s="208"/>
      <c r="V63" s="208"/>
      <c r="W63" s="208"/>
      <c r="X63" s="208"/>
      <c r="Y63" s="208"/>
      <c r="Z63" s="208"/>
      <c r="AA63" s="208"/>
      <c r="AB63" s="208"/>
      <c r="AC63" s="208"/>
      <c r="AD63" s="208"/>
      <c r="AE63" s="208"/>
      <c r="AF63" s="45"/>
      <c r="AK63"/>
      <c r="AL63"/>
      <c r="AM63"/>
      <c r="AN63"/>
      <c r="AO63"/>
      <c r="AP63"/>
      <c r="AQ63"/>
      <c r="AR63"/>
      <c r="AS63"/>
      <c r="AT63"/>
      <c r="AU63"/>
    </row>
    <row r="64" spans="1:47">
      <c r="A64" s="206"/>
      <c r="B64" s="206"/>
      <c r="C64" s="206"/>
      <c r="D64" s="206"/>
      <c r="E64" s="206"/>
      <c r="F64" s="206"/>
      <c r="G64" s="206"/>
      <c r="H64" s="206"/>
      <c r="I64" s="206"/>
      <c r="J64" s="206"/>
      <c r="K64" s="206"/>
      <c r="L64" s="206"/>
      <c r="M64" s="206"/>
      <c r="N64" s="208"/>
      <c r="O64" s="208"/>
      <c r="P64" s="208"/>
      <c r="Q64" s="208"/>
      <c r="R64" s="208"/>
      <c r="S64" s="208"/>
      <c r="T64" s="208"/>
      <c r="U64" s="208"/>
      <c r="V64" s="208"/>
      <c r="W64" s="208"/>
      <c r="X64" s="208"/>
      <c r="Y64" s="208"/>
      <c r="Z64" s="208"/>
      <c r="AA64" s="208"/>
      <c r="AB64" s="208"/>
      <c r="AC64" s="208"/>
      <c r="AD64" s="208"/>
      <c r="AE64" s="208"/>
      <c r="AF64" s="45"/>
      <c r="AK64"/>
      <c r="AL64"/>
      <c r="AM64"/>
      <c r="AN64"/>
      <c r="AO64"/>
      <c r="AP64"/>
      <c r="AQ64"/>
      <c r="AR64"/>
      <c r="AS64"/>
      <c r="AT64"/>
      <c r="AU64"/>
    </row>
    <row r="65" spans="1:47">
      <c r="A65" s="206"/>
      <c r="B65" s="206"/>
      <c r="C65" s="206"/>
      <c r="D65" s="206"/>
      <c r="E65" s="206"/>
      <c r="F65" s="206"/>
      <c r="G65" s="206"/>
      <c r="H65" s="206"/>
      <c r="I65" s="206"/>
      <c r="J65" s="206"/>
      <c r="K65" s="206"/>
      <c r="L65" s="206"/>
      <c r="M65" s="206"/>
      <c r="N65" s="208"/>
      <c r="O65" s="208"/>
      <c r="P65" s="208"/>
      <c r="Q65" s="208"/>
      <c r="R65" s="208"/>
      <c r="S65" s="208"/>
      <c r="T65" s="208"/>
      <c r="U65" s="208"/>
      <c r="V65" s="208"/>
      <c r="W65" s="208"/>
      <c r="X65" s="208"/>
      <c r="Y65" s="208"/>
      <c r="Z65" s="208"/>
      <c r="AA65" s="208"/>
      <c r="AB65" s="208"/>
      <c r="AC65" s="208"/>
      <c r="AD65" s="208"/>
      <c r="AE65" s="208"/>
      <c r="AF65" s="45"/>
      <c r="AK65"/>
      <c r="AL65"/>
      <c r="AM65"/>
      <c r="AN65"/>
      <c r="AO65"/>
      <c r="AP65"/>
      <c r="AQ65"/>
      <c r="AR65"/>
      <c r="AS65"/>
      <c r="AT65"/>
      <c r="AU65"/>
    </row>
    <row r="66" spans="1:47">
      <c r="A66" s="206"/>
      <c r="B66" s="206"/>
      <c r="C66" s="206"/>
      <c r="D66" s="206"/>
      <c r="E66" s="206"/>
      <c r="F66" s="206"/>
      <c r="G66" s="206"/>
      <c r="H66" s="206"/>
      <c r="I66" s="206"/>
      <c r="J66" s="206"/>
      <c r="K66" s="206"/>
      <c r="L66" s="206"/>
      <c r="M66" s="206"/>
      <c r="N66" s="208"/>
      <c r="O66" s="208"/>
      <c r="P66" s="208"/>
      <c r="Q66" s="208"/>
      <c r="R66" s="208"/>
      <c r="S66" s="208"/>
      <c r="T66" s="208"/>
      <c r="U66" s="208"/>
      <c r="V66" s="208"/>
      <c r="W66" s="208"/>
      <c r="X66" s="208"/>
      <c r="Y66" s="208"/>
      <c r="Z66" s="208"/>
      <c r="AA66" s="208"/>
      <c r="AB66" s="208"/>
      <c r="AC66" s="208"/>
      <c r="AD66" s="208"/>
      <c r="AE66" s="208"/>
      <c r="AF66" s="45"/>
      <c r="AK66"/>
      <c r="AL66"/>
      <c r="AM66"/>
      <c r="AN66"/>
      <c r="AO66"/>
      <c r="AP66"/>
      <c r="AQ66"/>
      <c r="AR66"/>
      <c r="AS66"/>
      <c r="AT66"/>
      <c r="AU66"/>
    </row>
    <row r="67" spans="1:47">
      <c r="A67" s="206"/>
      <c r="B67" s="206"/>
      <c r="C67" s="206"/>
      <c r="D67" s="206"/>
      <c r="E67" s="206"/>
      <c r="F67" s="206"/>
      <c r="G67" s="206"/>
      <c r="H67" s="206"/>
      <c r="I67" s="206"/>
      <c r="J67" s="206"/>
      <c r="K67" s="206"/>
      <c r="L67" s="206"/>
      <c r="M67" s="206"/>
      <c r="N67" s="208"/>
      <c r="O67" s="208"/>
      <c r="P67" s="208"/>
      <c r="Q67" s="208"/>
      <c r="R67" s="208"/>
      <c r="S67" s="208"/>
      <c r="T67" s="208"/>
      <c r="U67" s="208"/>
      <c r="V67" s="208"/>
      <c r="W67" s="208"/>
      <c r="X67" s="208"/>
      <c r="Y67" s="208"/>
      <c r="Z67" s="208"/>
      <c r="AA67" s="208"/>
      <c r="AB67" s="208"/>
      <c r="AC67" s="208"/>
      <c r="AD67" s="208"/>
      <c r="AE67" s="208"/>
      <c r="AF67" s="45"/>
      <c r="AK67"/>
      <c r="AL67"/>
      <c r="AM67"/>
      <c r="AN67"/>
      <c r="AO67"/>
      <c r="AP67"/>
      <c r="AQ67"/>
      <c r="AR67"/>
      <c r="AS67"/>
      <c r="AT67"/>
      <c r="AU67"/>
    </row>
    <row r="68" spans="1:47">
      <c r="A68" s="206"/>
      <c r="B68" s="206"/>
      <c r="C68" s="206"/>
      <c r="D68" s="206"/>
      <c r="E68" s="206"/>
      <c r="F68" s="206"/>
      <c r="G68" s="206"/>
      <c r="H68" s="206"/>
      <c r="I68" s="206"/>
      <c r="J68" s="206"/>
      <c r="K68" s="206"/>
      <c r="L68" s="206"/>
      <c r="M68" s="206"/>
      <c r="N68" s="208"/>
      <c r="O68" s="208"/>
      <c r="P68" s="208"/>
      <c r="Q68" s="208"/>
      <c r="R68" s="208"/>
      <c r="S68" s="208"/>
      <c r="T68" s="208"/>
      <c r="U68" s="208"/>
      <c r="V68" s="208"/>
      <c r="W68" s="208"/>
      <c r="X68" s="208"/>
      <c r="Y68" s="208"/>
      <c r="Z68" s="208"/>
      <c r="AA68" s="208"/>
      <c r="AB68" s="208"/>
      <c r="AC68" s="208"/>
      <c r="AD68" s="208"/>
      <c r="AE68" s="208"/>
      <c r="AF68" s="45"/>
      <c r="AK68"/>
      <c r="AL68"/>
      <c r="AM68"/>
      <c r="AN68"/>
      <c r="AO68"/>
      <c r="AP68"/>
      <c r="AQ68"/>
      <c r="AR68"/>
      <c r="AS68"/>
      <c r="AT68"/>
      <c r="AU68"/>
    </row>
    <row r="69" spans="1:47">
      <c r="A69" s="206"/>
      <c r="B69" s="206"/>
      <c r="C69" s="206"/>
      <c r="D69" s="206"/>
      <c r="E69" s="206"/>
      <c r="F69" s="206"/>
      <c r="G69" s="206"/>
      <c r="H69" s="206"/>
      <c r="I69" s="206"/>
      <c r="J69" s="206"/>
      <c r="K69" s="206"/>
      <c r="L69" s="206"/>
      <c r="M69" s="206"/>
      <c r="N69" s="208"/>
      <c r="O69" s="208"/>
      <c r="P69" s="208"/>
      <c r="Q69" s="208"/>
      <c r="R69" s="208"/>
      <c r="S69" s="208"/>
      <c r="T69" s="208"/>
      <c r="U69" s="208"/>
      <c r="V69" s="208"/>
      <c r="W69" s="208"/>
      <c r="X69" s="208"/>
      <c r="Y69" s="208"/>
      <c r="Z69" s="208"/>
      <c r="AA69" s="208"/>
      <c r="AB69" s="208"/>
      <c r="AC69" s="208"/>
      <c r="AD69" s="208"/>
      <c r="AE69" s="208"/>
      <c r="AF69" s="45"/>
      <c r="AK69"/>
      <c r="AL69"/>
      <c r="AM69"/>
      <c r="AN69"/>
      <c r="AO69"/>
      <c r="AP69"/>
      <c r="AQ69"/>
      <c r="AR69"/>
      <c r="AS69"/>
      <c r="AT69"/>
      <c r="AU69"/>
    </row>
    <row r="70" spans="1:47">
      <c r="A70" s="206"/>
      <c r="B70" s="206"/>
      <c r="C70" s="206"/>
      <c r="D70" s="206"/>
      <c r="E70" s="206"/>
      <c r="F70" s="206"/>
      <c r="G70" s="206"/>
      <c r="H70" s="206"/>
      <c r="I70" s="206"/>
      <c r="J70" s="206"/>
      <c r="K70" s="206"/>
      <c r="L70" s="206"/>
      <c r="M70" s="206"/>
      <c r="N70" s="208"/>
      <c r="O70" s="208"/>
      <c r="P70" s="208"/>
      <c r="Q70" s="208"/>
      <c r="R70" s="208"/>
      <c r="S70" s="208"/>
      <c r="T70" s="208"/>
      <c r="U70" s="208"/>
      <c r="V70" s="208"/>
      <c r="W70" s="208"/>
      <c r="X70" s="208"/>
      <c r="Y70" s="208"/>
      <c r="Z70" s="208"/>
      <c r="AA70" s="208"/>
      <c r="AB70" s="208"/>
      <c r="AC70" s="208"/>
      <c r="AD70" s="208"/>
      <c r="AE70" s="208"/>
      <c r="AF70" s="45"/>
      <c r="AK70"/>
      <c r="AL70"/>
      <c r="AM70"/>
      <c r="AN70"/>
      <c r="AO70"/>
      <c r="AP70"/>
      <c r="AQ70"/>
      <c r="AR70"/>
      <c r="AS70"/>
      <c r="AT70"/>
      <c r="AU70"/>
    </row>
    <row r="71" spans="1:47">
      <c r="A71" s="206"/>
      <c r="B71" s="206"/>
      <c r="C71" s="206"/>
      <c r="D71" s="206"/>
      <c r="E71" s="206"/>
      <c r="F71" s="206"/>
      <c r="G71" s="206"/>
      <c r="H71" s="206"/>
      <c r="I71" s="206"/>
      <c r="J71" s="206"/>
      <c r="K71" s="206"/>
      <c r="L71" s="206"/>
      <c r="M71" s="206"/>
      <c r="N71" s="208"/>
      <c r="O71" s="208"/>
      <c r="P71" s="208"/>
      <c r="Q71" s="208"/>
      <c r="R71" s="208"/>
      <c r="S71" s="208"/>
      <c r="T71" s="208"/>
      <c r="U71" s="208"/>
      <c r="V71" s="208"/>
      <c r="W71" s="208"/>
      <c r="X71" s="208"/>
      <c r="Y71" s="208"/>
      <c r="Z71" s="208"/>
      <c r="AA71" s="208"/>
      <c r="AB71" s="208"/>
      <c r="AC71" s="208"/>
      <c r="AD71" s="208"/>
      <c r="AE71" s="208"/>
      <c r="AF71" s="45"/>
      <c r="AK71"/>
      <c r="AL71"/>
      <c r="AM71"/>
      <c r="AN71"/>
      <c r="AO71"/>
      <c r="AP71"/>
      <c r="AQ71"/>
      <c r="AR71"/>
      <c r="AS71"/>
      <c r="AT71"/>
      <c r="AU71"/>
    </row>
    <row r="72" spans="1:47">
      <c r="A72" s="206"/>
      <c r="B72" s="206"/>
      <c r="C72" s="206"/>
      <c r="D72" s="206"/>
      <c r="E72" s="206"/>
      <c r="F72" s="206"/>
      <c r="G72" s="206"/>
      <c r="H72" s="206"/>
      <c r="I72" s="206"/>
      <c r="J72" s="206"/>
      <c r="K72" s="206"/>
      <c r="L72" s="206"/>
      <c r="M72" s="206"/>
      <c r="N72" s="208"/>
      <c r="O72" s="208"/>
      <c r="P72" s="208"/>
      <c r="Q72" s="208"/>
      <c r="R72" s="208"/>
      <c r="S72" s="208"/>
      <c r="T72" s="208"/>
      <c r="U72" s="208"/>
      <c r="V72" s="208"/>
      <c r="W72" s="208"/>
      <c r="X72" s="208"/>
      <c r="Y72" s="208"/>
      <c r="Z72" s="208"/>
      <c r="AA72" s="208"/>
      <c r="AB72" s="208"/>
      <c r="AC72" s="208"/>
      <c r="AD72" s="208"/>
      <c r="AE72" s="208"/>
      <c r="AF72" s="45"/>
      <c r="AK72"/>
      <c r="AL72"/>
      <c r="AM72"/>
      <c r="AN72"/>
      <c r="AO72"/>
      <c r="AP72"/>
      <c r="AQ72"/>
      <c r="AR72"/>
      <c r="AS72"/>
      <c r="AT72"/>
      <c r="AU72"/>
    </row>
    <row r="73" spans="1:47">
      <c r="A73" s="206"/>
      <c r="B73" s="206"/>
      <c r="C73" s="206"/>
      <c r="D73" s="206"/>
      <c r="E73" s="206"/>
      <c r="F73" s="206"/>
      <c r="G73" s="206"/>
      <c r="H73" s="206"/>
      <c r="I73" s="206"/>
      <c r="J73" s="206"/>
      <c r="K73" s="206"/>
      <c r="L73" s="206"/>
      <c r="M73" s="206"/>
      <c r="N73" s="208"/>
      <c r="O73" s="208"/>
      <c r="P73" s="208"/>
      <c r="Q73" s="208"/>
      <c r="R73" s="208"/>
      <c r="S73" s="208"/>
      <c r="T73" s="208"/>
      <c r="U73" s="208"/>
      <c r="V73" s="208"/>
      <c r="W73" s="208"/>
      <c r="X73" s="208"/>
      <c r="Y73" s="208"/>
      <c r="Z73" s="208"/>
      <c r="AA73" s="208"/>
      <c r="AB73" s="208"/>
      <c r="AC73" s="208"/>
      <c r="AD73" s="208"/>
      <c r="AE73" s="208"/>
      <c r="AF73" s="45"/>
      <c r="AK73"/>
      <c r="AL73"/>
      <c r="AM73"/>
      <c r="AN73"/>
      <c r="AO73"/>
      <c r="AP73"/>
      <c r="AQ73"/>
      <c r="AR73"/>
      <c r="AS73"/>
      <c r="AT73"/>
      <c r="AU73"/>
    </row>
    <row r="74" spans="1:47">
      <c r="A74" s="206"/>
      <c r="B74" s="206"/>
      <c r="C74" s="206"/>
      <c r="D74" s="206"/>
      <c r="E74" s="206"/>
      <c r="F74" s="206"/>
      <c r="G74" s="206"/>
      <c r="H74" s="206"/>
      <c r="I74" s="206"/>
      <c r="J74" s="206"/>
      <c r="K74" s="206"/>
      <c r="L74" s="206"/>
      <c r="M74" s="206"/>
      <c r="N74" s="208"/>
      <c r="O74" s="208"/>
      <c r="P74" s="208"/>
      <c r="Q74" s="208"/>
      <c r="R74" s="208"/>
      <c r="S74" s="208"/>
      <c r="T74" s="208"/>
      <c r="U74" s="208"/>
      <c r="V74" s="208"/>
      <c r="W74" s="208"/>
      <c r="X74" s="208"/>
      <c r="Y74" s="208"/>
      <c r="Z74" s="208"/>
      <c r="AA74" s="208"/>
      <c r="AB74" s="208"/>
      <c r="AC74" s="208"/>
      <c r="AD74" s="208"/>
      <c r="AE74" s="208"/>
      <c r="AF74" s="45"/>
      <c r="AK74"/>
      <c r="AL74"/>
      <c r="AM74"/>
      <c r="AN74"/>
      <c r="AO74"/>
      <c r="AP74"/>
      <c r="AQ74"/>
      <c r="AR74"/>
      <c r="AS74"/>
      <c r="AT74"/>
      <c r="AU74"/>
    </row>
    <row r="75" spans="1:47">
      <c r="A75" s="206"/>
      <c r="B75" s="206"/>
      <c r="C75" s="206"/>
      <c r="D75" s="206"/>
      <c r="E75" s="206"/>
      <c r="F75" s="206"/>
      <c r="G75" s="206"/>
      <c r="H75" s="206"/>
      <c r="I75" s="206"/>
      <c r="J75" s="206"/>
      <c r="K75" s="206"/>
      <c r="L75" s="206"/>
      <c r="M75" s="206"/>
      <c r="N75" s="208"/>
      <c r="O75" s="208"/>
      <c r="P75" s="208"/>
      <c r="Q75" s="208"/>
      <c r="R75" s="208"/>
      <c r="S75" s="208"/>
      <c r="T75" s="208"/>
      <c r="U75" s="208"/>
      <c r="V75" s="208"/>
      <c r="W75" s="208"/>
      <c r="X75" s="208"/>
      <c r="Y75" s="208"/>
      <c r="Z75" s="208"/>
      <c r="AA75" s="208"/>
      <c r="AB75" s="208"/>
      <c r="AC75" s="208"/>
      <c r="AD75" s="208"/>
      <c r="AE75" s="208"/>
      <c r="AF75" s="45"/>
      <c r="AK75"/>
      <c r="AL75"/>
      <c r="AM75"/>
      <c r="AN75"/>
      <c r="AO75"/>
      <c r="AP75"/>
      <c r="AQ75"/>
      <c r="AR75"/>
      <c r="AS75"/>
      <c r="AT75"/>
      <c r="AU75"/>
    </row>
    <row r="76" spans="1:47">
      <c r="A76" s="206"/>
      <c r="B76" s="206"/>
      <c r="C76" s="206"/>
      <c r="D76" s="206"/>
      <c r="E76" s="206"/>
      <c r="F76" s="206"/>
      <c r="G76" s="206"/>
      <c r="H76" s="206"/>
      <c r="I76" s="206"/>
      <c r="J76" s="206"/>
      <c r="K76" s="206"/>
      <c r="L76" s="206"/>
      <c r="M76" s="206"/>
      <c r="N76" s="208"/>
      <c r="O76" s="208"/>
      <c r="P76" s="208"/>
      <c r="Q76" s="208"/>
      <c r="R76" s="208"/>
      <c r="S76" s="208"/>
      <c r="T76" s="208"/>
      <c r="U76" s="208"/>
      <c r="V76" s="208"/>
      <c r="W76" s="208"/>
      <c r="X76" s="208"/>
      <c r="Y76" s="208"/>
      <c r="Z76" s="208"/>
      <c r="AA76" s="208"/>
      <c r="AB76" s="208"/>
      <c r="AC76" s="208"/>
      <c r="AD76" s="208"/>
      <c r="AE76" s="208"/>
      <c r="AF76" s="45"/>
      <c r="AK76"/>
      <c r="AL76"/>
      <c r="AM76"/>
      <c r="AN76"/>
      <c r="AO76"/>
      <c r="AP76"/>
      <c r="AQ76"/>
      <c r="AR76"/>
      <c r="AS76"/>
      <c r="AT76"/>
      <c r="AU76"/>
    </row>
    <row r="77" spans="1:47">
      <c r="A77" s="206"/>
      <c r="B77" s="206"/>
      <c r="C77" s="206"/>
      <c r="D77" s="206"/>
      <c r="E77" s="206"/>
      <c r="F77" s="206"/>
      <c r="G77" s="206"/>
      <c r="H77" s="206"/>
      <c r="I77" s="206"/>
      <c r="J77" s="206"/>
      <c r="K77" s="206"/>
      <c r="L77" s="206"/>
      <c r="M77" s="206"/>
      <c r="N77" s="208"/>
      <c r="O77" s="208"/>
      <c r="P77" s="208"/>
      <c r="Q77" s="208"/>
      <c r="R77" s="208"/>
      <c r="S77" s="208"/>
      <c r="T77" s="208"/>
      <c r="U77" s="208"/>
      <c r="V77" s="208"/>
      <c r="W77" s="208"/>
      <c r="X77" s="208"/>
      <c r="Y77" s="208"/>
      <c r="Z77" s="208"/>
      <c r="AA77" s="208"/>
      <c r="AB77" s="208"/>
      <c r="AC77" s="208"/>
      <c r="AD77" s="208"/>
      <c r="AE77" s="208"/>
      <c r="AF77" s="45"/>
      <c r="AK77"/>
      <c r="AL77"/>
      <c r="AM77"/>
      <c r="AN77"/>
      <c r="AO77"/>
      <c r="AP77"/>
      <c r="AQ77"/>
      <c r="AR77"/>
      <c r="AS77"/>
      <c r="AT77"/>
      <c r="AU77"/>
    </row>
    <row r="78" spans="1:47">
      <c r="A78" s="206"/>
      <c r="B78" s="206"/>
      <c r="C78" s="206"/>
      <c r="D78" s="206"/>
      <c r="E78" s="206"/>
      <c r="F78" s="206"/>
      <c r="G78" s="206"/>
      <c r="H78" s="206"/>
      <c r="I78" s="206"/>
      <c r="J78" s="206"/>
      <c r="K78" s="206"/>
      <c r="L78" s="206"/>
      <c r="M78" s="206"/>
      <c r="N78" s="208"/>
      <c r="O78" s="208"/>
      <c r="P78" s="208"/>
      <c r="Q78" s="208"/>
      <c r="R78" s="208"/>
      <c r="S78" s="208"/>
      <c r="T78" s="208"/>
      <c r="U78" s="208"/>
      <c r="V78" s="208"/>
      <c r="W78" s="208"/>
      <c r="X78" s="208"/>
      <c r="Y78" s="208"/>
      <c r="Z78" s="208"/>
      <c r="AA78" s="208"/>
      <c r="AB78" s="208"/>
      <c r="AC78" s="208"/>
      <c r="AD78" s="208"/>
      <c r="AE78" s="208"/>
      <c r="AF78" s="45"/>
      <c r="AK78"/>
      <c r="AL78"/>
      <c r="AM78"/>
      <c r="AN78"/>
      <c r="AO78"/>
      <c r="AP78"/>
      <c r="AQ78"/>
      <c r="AR78"/>
      <c r="AS78"/>
      <c r="AT78"/>
      <c r="AU78"/>
    </row>
    <row r="79" spans="1:47">
      <c r="A79" s="206"/>
      <c r="B79" s="206"/>
      <c r="C79" s="206"/>
      <c r="D79" s="206"/>
      <c r="E79" s="206"/>
      <c r="F79" s="206"/>
      <c r="G79" s="206"/>
      <c r="H79" s="206"/>
      <c r="I79" s="206"/>
      <c r="J79" s="206"/>
      <c r="K79" s="206"/>
      <c r="L79" s="206"/>
      <c r="M79" s="206"/>
      <c r="N79" s="208"/>
      <c r="O79" s="208"/>
      <c r="P79" s="208"/>
      <c r="Q79" s="208"/>
      <c r="R79" s="208"/>
      <c r="S79" s="208"/>
      <c r="T79" s="208"/>
      <c r="U79" s="208"/>
      <c r="V79" s="208"/>
      <c r="W79" s="208"/>
      <c r="X79" s="208"/>
      <c r="Y79" s="208"/>
      <c r="Z79" s="208"/>
      <c r="AA79" s="208"/>
      <c r="AB79" s="208"/>
      <c r="AC79" s="208"/>
      <c r="AD79" s="208"/>
      <c r="AE79" s="208"/>
      <c r="AF79" s="45"/>
      <c r="AK79"/>
      <c r="AL79"/>
      <c r="AM79"/>
      <c r="AN79"/>
      <c r="AO79"/>
      <c r="AP79"/>
      <c r="AQ79"/>
      <c r="AR79"/>
      <c r="AS79"/>
      <c r="AT79"/>
      <c r="AU79"/>
    </row>
    <row r="80" spans="1:47">
      <c r="A80" s="206"/>
      <c r="B80" s="206"/>
      <c r="C80" s="206"/>
      <c r="D80" s="206"/>
      <c r="E80" s="206"/>
      <c r="F80" s="206"/>
      <c r="G80" s="206"/>
      <c r="H80" s="206"/>
      <c r="I80" s="206"/>
      <c r="J80" s="206"/>
      <c r="K80" s="206"/>
      <c r="L80" s="206"/>
      <c r="M80" s="206"/>
      <c r="N80" s="208"/>
      <c r="O80" s="208"/>
      <c r="P80" s="208"/>
      <c r="Q80" s="208"/>
      <c r="R80" s="208"/>
      <c r="S80" s="208"/>
      <c r="T80" s="208"/>
      <c r="U80" s="208"/>
      <c r="V80" s="208"/>
      <c r="W80" s="208"/>
      <c r="X80" s="208"/>
      <c r="Y80" s="208"/>
      <c r="Z80" s="208"/>
      <c r="AA80" s="208"/>
      <c r="AB80" s="208"/>
      <c r="AC80" s="208"/>
      <c r="AD80" s="208"/>
      <c r="AE80" s="208"/>
      <c r="AF80" s="45"/>
      <c r="AK80"/>
      <c r="AL80"/>
      <c r="AM80"/>
      <c r="AN80"/>
      <c r="AO80"/>
      <c r="AP80"/>
      <c r="AQ80"/>
      <c r="AR80"/>
      <c r="AS80"/>
      <c r="AT80"/>
      <c r="AU80"/>
    </row>
    <row r="81" spans="1:47">
      <c r="A81" s="206"/>
      <c r="B81" s="206"/>
      <c r="C81" s="206"/>
      <c r="D81" s="206"/>
      <c r="E81" s="206"/>
      <c r="F81" s="206"/>
      <c r="G81" s="206"/>
      <c r="H81" s="206"/>
      <c r="I81" s="206"/>
      <c r="J81" s="206"/>
      <c r="K81" s="206"/>
      <c r="L81" s="206"/>
      <c r="M81" s="206"/>
      <c r="N81" s="208"/>
      <c r="O81" s="208"/>
      <c r="P81" s="208"/>
      <c r="Q81" s="208"/>
      <c r="R81" s="208"/>
      <c r="S81" s="208"/>
      <c r="T81" s="208"/>
      <c r="U81" s="208"/>
      <c r="V81" s="208"/>
      <c r="W81" s="208"/>
      <c r="X81" s="208"/>
      <c r="Y81" s="208"/>
      <c r="Z81" s="208"/>
      <c r="AA81" s="208"/>
      <c r="AB81" s="208"/>
      <c r="AC81" s="208"/>
      <c r="AD81" s="208"/>
      <c r="AE81" s="208"/>
      <c r="AF81" s="45"/>
      <c r="AK81"/>
      <c r="AL81"/>
      <c r="AM81"/>
      <c r="AN81"/>
      <c r="AO81"/>
      <c r="AP81"/>
      <c r="AQ81"/>
      <c r="AR81"/>
      <c r="AS81"/>
      <c r="AT81"/>
      <c r="AU81"/>
    </row>
    <row r="82" spans="1:47">
      <c r="A82" s="206"/>
      <c r="B82" s="206"/>
      <c r="C82" s="206"/>
      <c r="D82" s="206"/>
      <c r="E82" s="206"/>
      <c r="F82" s="206"/>
      <c r="G82" s="206"/>
      <c r="H82" s="206"/>
      <c r="I82" s="206"/>
      <c r="J82" s="206"/>
      <c r="K82" s="206"/>
      <c r="L82" s="206"/>
      <c r="M82" s="206"/>
      <c r="N82" s="208"/>
      <c r="O82" s="208"/>
      <c r="P82" s="208"/>
      <c r="Q82" s="208"/>
      <c r="R82" s="208"/>
      <c r="S82" s="208"/>
      <c r="T82" s="208"/>
      <c r="U82" s="208"/>
      <c r="V82" s="208"/>
      <c r="W82" s="208"/>
      <c r="X82" s="208"/>
      <c r="Y82" s="208"/>
      <c r="Z82" s="208"/>
      <c r="AA82" s="208"/>
      <c r="AB82" s="208"/>
      <c r="AC82" s="208"/>
      <c r="AD82" s="208"/>
      <c r="AE82" s="208"/>
      <c r="AF82" s="45"/>
      <c r="AK82"/>
      <c r="AL82"/>
      <c r="AM82"/>
      <c r="AN82"/>
      <c r="AO82"/>
      <c r="AP82"/>
      <c r="AQ82"/>
      <c r="AR82"/>
      <c r="AS82"/>
      <c r="AT82"/>
      <c r="AU82"/>
    </row>
    <row r="83" spans="1:47">
      <c r="A83" s="206"/>
      <c r="B83" s="206"/>
      <c r="C83" s="206"/>
      <c r="D83" s="206"/>
      <c r="E83" s="206"/>
      <c r="F83" s="206"/>
      <c r="G83" s="206"/>
      <c r="H83" s="206"/>
      <c r="I83" s="206"/>
      <c r="J83" s="206"/>
      <c r="K83" s="206"/>
      <c r="L83" s="206"/>
      <c r="M83" s="206"/>
      <c r="N83" s="208"/>
      <c r="O83" s="208"/>
      <c r="P83" s="208"/>
      <c r="Q83" s="208"/>
      <c r="R83" s="208"/>
      <c r="S83" s="208"/>
      <c r="T83" s="208"/>
      <c r="U83" s="208"/>
      <c r="V83" s="208"/>
      <c r="W83" s="208"/>
      <c r="X83" s="208"/>
      <c r="Y83" s="208"/>
      <c r="Z83" s="208"/>
      <c r="AA83" s="208"/>
      <c r="AB83" s="208"/>
      <c r="AC83" s="208"/>
      <c r="AD83" s="208"/>
      <c r="AE83" s="208"/>
      <c r="AF83" s="45"/>
      <c r="AK83"/>
      <c r="AL83"/>
      <c r="AM83"/>
      <c r="AN83"/>
      <c r="AO83"/>
      <c r="AP83"/>
      <c r="AQ83"/>
      <c r="AR83"/>
      <c r="AS83"/>
      <c r="AT83"/>
      <c r="AU83"/>
    </row>
    <row r="84" spans="1:47">
      <c r="A84" s="206"/>
      <c r="B84" s="206"/>
      <c r="C84" s="206"/>
      <c r="D84" s="206"/>
      <c r="E84" s="206"/>
      <c r="F84" s="206"/>
      <c r="G84" s="206"/>
      <c r="H84" s="206"/>
      <c r="I84" s="206"/>
      <c r="J84" s="206"/>
      <c r="K84" s="206"/>
      <c r="L84" s="206"/>
      <c r="M84" s="206"/>
      <c r="N84" s="208"/>
      <c r="O84" s="208"/>
      <c r="P84" s="208"/>
      <c r="Q84" s="208"/>
      <c r="R84" s="208"/>
      <c r="S84" s="208"/>
      <c r="T84" s="208"/>
      <c r="U84" s="208"/>
      <c r="V84" s="208"/>
      <c r="W84" s="208"/>
      <c r="X84" s="208"/>
      <c r="Y84" s="208"/>
      <c r="Z84" s="208"/>
      <c r="AA84" s="208"/>
      <c r="AB84" s="208"/>
      <c r="AC84" s="208"/>
      <c r="AD84" s="208"/>
      <c r="AE84" s="208"/>
      <c r="AF84" s="45"/>
      <c r="AK84"/>
      <c r="AL84"/>
      <c r="AM84"/>
      <c r="AN84"/>
      <c r="AO84"/>
      <c r="AP84"/>
      <c r="AQ84"/>
      <c r="AR84"/>
      <c r="AS84"/>
      <c r="AT84"/>
      <c r="AU84"/>
    </row>
    <row r="85" spans="1:47">
      <c r="A85" s="206"/>
      <c r="B85" s="206"/>
      <c r="C85" s="206"/>
      <c r="D85" s="206"/>
      <c r="E85" s="206"/>
      <c r="F85" s="206"/>
      <c r="G85" s="206"/>
      <c r="H85" s="206"/>
      <c r="I85" s="206"/>
      <c r="J85" s="206"/>
      <c r="K85" s="206"/>
      <c r="L85" s="206"/>
      <c r="M85" s="206"/>
      <c r="N85" s="208"/>
      <c r="O85" s="208"/>
      <c r="P85" s="208"/>
      <c r="Q85" s="208"/>
      <c r="R85" s="208"/>
      <c r="S85" s="208"/>
      <c r="T85" s="208"/>
      <c r="U85" s="208"/>
      <c r="V85" s="208"/>
      <c r="W85" s="208"/>
      <c r="X85" s="208"/>
      <c r="Y85" s="208"/>
      <c r="Z85" s="208"/>
      <c r="AA85" s="208"/>
      <c r="AB85" s="208"/>
      <c r="AC85" s="208"/>
      <c r="AD85" s="208"/>
      <c r="AE85" s="208"/>
      <c r="AF85" s="45"/>
      <c r="AK85"/>
      <c r="AL85"/>
      <c r="AM85"/>
      <c r="AN85"/>
      <c r="AO85"/>
      <c r="AP85"/>
      <c r="AQ85"/>
      <c r="AR85"/>
      <c r="AS85"/>
      <c r="AT85"/>
      <c r="AU85"/>
    </row>
    <row r="86" spans="1:47">
      <c r="A86" s="206"/>
      <c r="B86" s="206"/>
      <c r="C86" s="206"/>
      <c r="D86" s="206"/>
      <c r="E86" s="206"/>
      <c r="F86" s="206"/>
      <c r="G86" s="206"/>
      <c r="H86" s="206"/>
      <c r="I86" s="206"/>
      <c r="J86" s="206"/>
      <c r="K86" s="206"/>
      <c r="L86" s="206"/>
      <c r="M86" s="206"/>
      <c r="N86" s="208"/>
      <c r="O86" s="208"/>
      <c r="P86" s="208"/>
      <c r="Q86" s="208"/>
      <c r="R86" s="208"/>
      <c r="S86" s="208"/>
      <c r="T86" s="208"/>
      <c r="U86" s="208"/>
      <c r="V86" s="208"/>
      <c r="W86" s="208"/>
      <c r="X86" s="208"/>
      <c r="Y86" s="208"/>
      <c r="Z86" s="208"/>
      <c r="AA86" s="208"/>
      <c r="AB86" s="208"/>
      <c r="AC86" s="208"/>
      <c r="AD86" s="208"/>
      <c r="AE86" s="208"/>
      <c r="AF86" s="45"/>
      <c r="AK86"/>
      <c r="AL86"/>
      <c r="AM86"/>
      <c r="AN86"/>
      <c r="AO86"/>
      <c r="AP86"/>
      <c r="AQ86"/>
      <c r="AR86"/>
      <c r="AS86"/>
      <c r="AT86"/>
      <c r="AU86"/>
    </row>
    <row r="87" spans="1:47">
      <c r="A87" s="206"/>
      <c r="B87" s="206"/>
      <c r="C87" s="206"/>
      <c r="D87" s="206"/>
      <c r="E87" s="206"/>
      <c r="F87" s="206"/>
      <c r="G87" s="206"/>
      <c r="H87" s="206"/>
      <c r="I87" s="206"/>
      <c r="J87" s="206"/>
      <c r="K87" s="206"/>
      <c r="L87" s="206"/>
      <c r="M87" s="206"/>
      <c r="N87" s="208"/>
      <c r="O87" s="208"/>
      <c r="P87" s="208"/>
      <c r="Q87" s="208"/>
      <c r="R87" s="208"/>
      <c r="S87" s="208"/>
      <c r="T87" s="208"/>
      <c r="U87" s="208"/>
      <c r="V87" s="208"/>
      <c r="W87" s="208"/>
      <c r="X87" s="208"/>
      <c r="Y87" s="208"/>
      <c r="Z87" s="208"/>
      <c r="AA87" s="208"/>
      <c r="AB87" s="208"/>
      <c r="AC87" s="208"/>
      <c r="AD87" s="208"/>
      <c r="AE87" s="208"/>
      <c r="AF87" s="45"/>
      <c r="AK87"/>
      <c r="AL87"/>
      <c r="AM87"/>
      <c r="AN87"/>
      <c r="AO87"/>
      <c r="AP87"/>
      <c r="AQ87"/>
      <c r="AR87"/>
      <c r="AS87"/>
      <c r="AT87"/>
      <c r="AU87"/>
    </row>
    <row r="88" spans="1:47">
      <c r="A88" s="206"/>
      <c r="B88" s="206"/>
      <c r="C88" s="206"/>
      <c r="D88" s="206"/>
      <c r="E88" s="206"/>
      <c r="F88" s="206"/>
      <c r="G88" s="206"/>
      <c r="H88" s="206"/>
      <c r="I88" s="206"/>
      <c r="J88" s="206"/>
      <c r="K88" s="206"/>
      <c r="L88" s="206"/>
      <c r="M88" s="206"/>
      <c r="N88" s="208"/>
      <c r="O88" s="208"/>
      <c r="P88" s="208"/>
      <c r="Q88" s="208"/>
      <c r="R88" s="208"/>
      <c r="S88" s="208"/>
      <c r="T88" s="208"/>
      <c r="U88" s="208"/>
      <c r="V88" s="208"/>
      <c r="W88" s="208"/>
      <c r="X88" s="208"/>
      <c r="Y88" s="208"/>
      <c r="Z88" s="208"/>
      <c r="AA88" s="208"/>
      <c r="AB88" s="208"/>
      <c r="AC88" s="208"/>
      <c r="AD88" s="208"/>
      <c r="AE88" s="208"/>
      <c r="AF88" s="45"/>
      <c r="AK88"/>
      <c r="AL88"/>
      <c r="AM88"/>
      <c r="AN88"/>
      <c r="AO88"/>
      <c r="AP88"/>
      <c r="AQ88"/>
      <c r="AR88"/>
      <c r="AS88"/>
      <c r="AT88"/>
      <c r="AU88"/>
    </row>
    <row r="89" spans="1:47">
      <c r="A89" s="206"/>
      <c r="B89" s="206"/>
      <c r="C89" s="206"/>
      <c r="D89" s="206"/>
      <c r="E89" s="206"/>
      <c r="F89" s="206"/>
      <c r="G89" s="206"/>
      <c r="H89" s="206"/>
      <c r="I89" s="206"/>
      <c r="J89" s="206"/>
      <c r="K89" s="206"/>
      <c r="L89" s="206"/>
      <c r="M89" s="206"/>
      <c r="N89" s="208"/>
      <c r="O89" s="208"/>
      <c r="P89" s="208"/>
      <c r="Q89" s="208"/>
      <c r="R89" s="208"/>
      <c r="S89" s="208"/>
      <c r="T89" s="208"/>
      <c r="U89" s="208"/>
      <c r="V89" s="208"/>
      <c r="W89" s="208"/>
      <c r="X89" s="208"/>
      <c r="Y89" s="208"/>
      <c r="Z89" s="208"/>
      <c r="AA89" s="208"/>
      <c r="AB89" s="208"/>
      <c r="AC89" s="208"/>
      <c r="AD89" s="208"/>
      <c r="AE89" s="208"/>
      <c r="AF89" s="45"/>
      <c r="AK89"/>
      <c r="AL89"/>
      <c r="AM89"/>
      <c r="AN89"/>
      <c r="AO89"/>
      <c r="AP89"/>
      <c r="AQ89"/>
      <c r="AR89"/>
      <c r="AS89"/>
      <c r="AT89"/>
      <c r="AU89"/>
    </row>
    <row r="90" spans="1:47">
      <c r="A90" s="206"/>
      <c r="B90" s="206"/>
      <c r="C90" s="206"/>
      <c r="D90" s="206"/>
      <c r="E90" s="206"/>
      <c r="F90" s="206"/>
      <c r="G90" s="206"/>
      <c r="H90" s="206"/>
      <c r="I90" s="206"/>
      <c r="J90" s="206"/>
      <c r="K90" s="206"/>
      <c r="L90" s="206"/>
      <c r="M90" s="206"/>
      <c r="N90" s="208"/>
      <c r="O90" s="208"/>
      <c r="P90" s="208"/>
      <c r="Q90" s="208"/>
      <c r="R90" s="208"/>
      <c r="S90" s="208"/>
      <c r="T90" s="208"/>
      <c r="U90" s="208"/>
      <c r="V90" s="208"/>
      <c r="W90" s="208"/>
      <c r="X90" s="208"/>
      <c r="Y90" s="208"/>
      <c r="Z90" s="208"/>
      <c r="AA90" s="208"/>
      <c r="AB90" s="208"/>
      <c r="AC90" s="208"/>
      <c r="AD90" s="208"/>
      <c r="AE90" s="208"/>
      <c r="AF90" s="45"/>
      <c r="AK90"/>
      <c r="AL90"/>
      <c r="AM90"/>
      <c r="AN90"/>
      <c r="AO90"/>
      <c r="AP90"/>
      <c r="AQ90"/>
      <c r="AR90"/>
      <c r="AS90"/>
      <c r="AT90"/>
      <c r="AU90"/>
    </row>
    <row r="91" spans="1:47">
      <c r="A91" s="206"/>
      <c r="B91" s="206"/>
      <c r="C91" s="206"/>
      <c r="D91" s="206"/>
      <c r="E91" s="206"/>
      <c r="F91" s="206"/>
      <c r="G91" s="206"/>
      <c r="H91" s="206"/>
      <c r="I91" s="206"/>
      <c r="J91" s="206"/>
      <c r="K91" s="206"/>
      <c r="L91" s="206"/>
      <c r="M91" s="206"/>
      <c r="N91" s="208"/>
      <c r="O91" s="208"/>
      <c r="P91" s="208"/>
      <c r="Q91" s="208"/>
      <c r="R91" s="208"/>
      <c r="S91" s="208"/>
      <c r="T91" s="208"/>
      <c r="U91" s="208"/>
      <c r="V91" s="208"/>
      <c r="W91" s="208"/>
      <c r="X91" s="208"/>
      <c r="Y91" s="208"/>
      <c r="Z91" s="208"/>
      <c r="AA91" s="208"/>
      <c r="AB91" s="208"/>
      <c r="AC91" s="208"/>
      <c r="AD91" s="208"/>
      <c r="AE91" s="208"/>
      <c r="AF91" s="45"/>
      <c r="AK91"/>
      <c r="AL91"/>
      <c r="AM91"/>
      <c r="AN91"/>
      <c r="AO91"/>
      <c r="AP91"/>
      <c r="AQ91"/>
      <c r="AR91"/>
      <c r="AS91"/>
      <c r="AT91"/>
      <c r="AU91"/>
    </row>
    <row r="92" spans="1:47">
      <c r="A92" s="206"/>
      <c r="B92" s="206"/>
      <c r="C92" s="206"/>
      <c r="D92" s="206"/>
      <c r="E92" s="206"/>
      <c r="F92" s="206"/>
      <c r="G92" s="206"/>
      <c r="H92" s="206"/>
      <c r="I92" s="206"/>
      <c r="J92" s="206"/>
      <c r="K92" s="206"/>
      <c r="L92" s="206"/>
      <c r="M92" s="206"/>
      <c r="N92" s="208"/>
      <c r="O92" s="208"/>
      <c r="P92" s="208"/>
      <c r="Q92" s="208"/>
      <c r="R92" s="208"/>
      <c r="S92" s="208"/>
      <c r="T92" s="208"/>
      <c r="U92" s="208"/>
      <c r="V92" s="208"/>
      <c r="W92" s="208"/>
      <c r="X92" s="208"/>
      <c r="Y92" s="208"/>
      <c r="Z92" s="208"/>
      <c r="AA92" s="208"/>
      <c r="AB92" s="208"/>
      <c r="AC92" s="208"/>
      <c r="AD92" s="208"/>
      <c r="AE92" s="208"/>
      <c r="AF92" s="45"/>
      <c r="AK92"/>
      <c r="AL92"/>
      <c r="AM92"/>
      <c r="AN92"/>
      <c r="AO92"/>
      <c r="AP92"/>
      <c r="AQ92"/>
      <c r="AR92"/>
      <c r="AS92"/>
      <c r="AT92"/>
      <c r="AU92"/>
    </row>
    <row r="93" spans="1:47">
      <c r="A93" s="206"/>
      <c r="B93" s="206"/>
      <c r="C93" s="206"/>
      <c r="D93" s="206"/>
      <c r="E93" s="206"/>
      <c r="F93" s="206"/>
      <c r="G93" s="206"/>
      <c r="H93" s="206"/>
      <c r="I93" s="206"/>
      <c r="J93" s="206"/>
      <c r="K93" s="206"/>
      <c r="L93" s="206"/>
      <c r="M93" s="206"/>
      <c r="N93" s="208"/>
      <c r="O93" s="208"/>
      <c r="P93" s="208"/>
      <c r="Q93" s="208"/>
      <c r="R93" s="208"/>
      <c r="S93" s="208"/>
      <c r="T93" s="208"/>
      <c r="U93" s="208"/>
      <c r="V93" s="208"/>
      <c r="W93" s="208"/>
      <c r="X93" s="208"/>
      <c r="Y93" s="208"/>
      <c r="Z93" s="208"/>
      <c r="AA93" s="208"/>
      <c r="AB93" s="208"/>
      <c r="AC93" s="208"/>
      <c r="AD93" s="208"/>
      <c r="AE93" s="208"/>
      <c r="AF93" s="45"/>
      <c r="AK93"/>
      <c r="AL93"/>
      <c r="AM93"/>
      <c r="AN93"/>
      <c r="AO93"/>
      <c r="AP93"/>
      <c r="AQ93"/>
      <c r="AR93"/>
      <c r="AS93"/>
      <c r="AT93"/>
      <c r="AU93"/>
    </row>
    <row r="94" spans="1:47">
      <c r="A94" s="206"/>
      <c r="B94" s="206"/>
      <c r="C94" s="206"/>
      <c r="D94" s="206"/>
      <c r="E94" s="206"/>
      <c r="F94" s="206"/>
      <c r="G94" s="206"/>
      <c r="H94" s="206"/>
      <c r="I94" s="206"/>
      <c r="J94" s="206"/>
      <c r="K94" s="206"/>
      <c r="L94" s="206"/>
      <c r="M94" s="206"/>
      <c r="N94" s="208"/>
      <c r="O94" s="208"/>
      <c r="P94" s="208"/>
      <c r="Q94" s="208"/>
      <c r="R94" s="208"/>
      <c r="S94" s="208"/>
      <c r="T94" s="208"/>
      <c r="U94" s="208"/>
      <c r="V94" s="208"/>
      <c r="W94" s="208"/>
      <c r="X94" s="208"/>
      <c r="Y94" s="208"/>
      <c r="Z94" s="208"/>
      <c r="AA94" s="208"/>
      <c r="AB94" s="208"/>
      <c r="AC94" s="208"/>
      <c r="AD94" s="208"/>
      <c r="AE94" s="208"/>
      <c r="AF94" s="45"/>
      <c r="AK94"/>
      <c r="AL94"/>
      <c r="AM94"/>
      <c r="AN94"/>
      <c r="AO94"/>
      <c r="AP94"/>
      <c r="AQ94"/>
      <c r="AR94"/>
      <c r="AS94"/>
      <c r="AT94"/>
      <c r="AU94"/>
    </row>
    <row r="95" spans="1:47">
      <c r="A95" s="206"/>
      <c r="B95" s="206"/>
      <c r="C95" s="206"/>
      <c r="D95" s="206"/>
      <c r="E95" s="206"/>
      <c r="F95" s="206"/>
      <c r="G95" s="206"/>
      <c r="H95" s="206"/>
      <c r="I95" s="206"/>
      <c r="J95" s="206"/>
      <c r="K95" s="206"/>
      <c r="L95" s="206"/>
      <c r="M95" s="206"/>
      <c r="N95" s="208"/>
      <c r="O95" s="208"/>
      <c r="P95" s="208"/>
      <c r="Q95" s="208"/>
      <c r="R95" s="208"/>
      <c r="S95" s="208"/>
      <c r="T95" s="208"/>
      <c r="U95" s="208"/>
      <c r="V95" s="208"/>
      <c r="W95" s="208"/>
      <c r="X95" s="208"/>
      <c r="Y95" s="208"/>
      <c r="Z95" s="208"/>
      <c r="AA95" s="208"/>
      <c r="AB95" s="208"/>
      <c r="AC95" s="208"/>
      <c r="AD95" s="208"/>
      <c r="AE95" s="208"/>
      <c r="AF95" s="45"/>
      <c r="AK95"/>
      <c r="AL95"/>
      <c r="AM95"/>
      <c r="AN95"/>
      <c r="AO95"/>
      <c r="AP95"/>
      <c r="AQ95"/>
      <c r="AR95"/>
      <c r="AS95"/>
      <c r="AT95"/>
      <c r="AU95"/>
    </row>
    <row r="96" spans="1:47">
      <c r="A96" s="206"/>
      <c r="B96" s="206"/>
      <c r="C96" s="206"/>
      <c r="D96" s="206"/>
      <c r="E96" s="206"/>
      <c r="F96" s="206"/>
      <c r="G96" s="206"/>
      <c r="H96" s="206"/>
      <c r="I96" s="206"/>
      <c r="J96" s="206"/>
      <c r="K96" s="206"/>
      <c r="L96" s="206"/>
      <c r="M96" s="206"/>
      <c r="N96" s="208"/>
      <c r="O96" s="208"/>
      <c r="P96" s="208"/>
      <c r="Q96" s="208"/>
      <c r="R96" s="208"/>
      <c r="S96" s="208"/>
      <c r="T96" s="208"/>
      <c r="U96" s="208"/>
      <c r="V96" s="208"/>
      <c r="W96" s="208"/>
      <c r="X96" s="208"/>
      <c r="Y96" s="208"/>
      <c r="Z96" s="208"/>
      <c r="AA96" s="208"/>
      <c r="AB96" s="208"/>
      <c r="AC96" s="208"/>
      <c r="AD96" s="208"/>
      <c r="AE96" s="208"/>
      <c r="AF96" s="45"/>
      <c r="AK96"/>
      <c r="AL96"/>
      <c r="AM96"/>
      <c r="AN96"/>
      <c r="AO96"/>
      <c r="AP96"/>
      <c r="AQ96"/>
      <c r="AR96"/>
      <c r="AS96"/>
      <c r="AT96"/>
      <c r="AU96"/>
    </row>
    <row r="97" spans="1:47">
      <c r="A97" s="206"/>
      <c r="B97" s="206"/>
      <c r="C97" s="206"/>
      <c r="D97" s="206"/>
      <c r="E97" s="206"/>
      <c r="F97" s="206"/>
      <c r="G97" s="206"/>
      <c r="H97" s="206"/>
      <c r="I97" s="206"/>
      <c r="J97" s="206"/>
      <c r="K97" s="206"/>
      <c r="L97" s="206"/>
      <c r="M97" s="206"/>
      <c r="N97" s="208"/>
      <c r="O97" s="208"/>
      <c r="P97" s="208"/>
      <c r="Q97" s="208"/>
      <c r="R97" s="208"/>
      <c r="S97" s="208"/>
      <c r="T97" s="208"/>
      <c r="U97" s="208"/>
      <c r="V97" s="208"/>
      <c r="W97" s="208"/>
      <c r="X97" s="208"/>
      <c r="Y97" s="208"/>
      <c r="Z97" s="208"/>
      <c r="AA97" s="208"/>
      <c r="AB97" s="208"/>
      <c r="AC97" s="208"/>
      <c r="AD97" s="208"/>
      <c r="AE97" s="208"/>
      <c r="AF97" s="45"/>
      <c r="AK97"/>
      <c r="AL97"/>
      <c r="AM97"/>
      <c r="AN97"/>
      <c r="AO97"/>
      <c r="AP97"/>
      <c r="AQ97"/>
      <c r="AR97"/>
      <c r="AS97"/>
      <c r="AT97"/>
      <c r="AU97"/>
    </row>
    <row r="98" spans="1:47">
      <c r="A98" s="206"/>
      <c r="B98" s="206"/>
      <c r="C98" s="206"/>
      <c r="D98" s="206"/>
      <c r="E98" s="206"/>
      <c r="F98" s="206"/>
      <c r="G98" s="206"/>
      <c r="H98" s="206"/>
      <c r="I98" s="206"/>
      <c r="J98" s="206"/>
      <c r="K98" s="206"/>
      <c r="L98" s="206"/>
      <c r="M98" s="206"/>
      <c r="N98" s="208"/>
      <c r="O98" s="208"/>
      <c r="P98" s="208"/>
      <c r="Q98" s="208"/>
      <c r="R98" s="208"/>
      <c r="S98" s="208"/>
      <c r="T98" s="208"/>
      <c r="U98" s="208"/>
      <c r="V98" s="208"/>
      <c r="W98" s="208"/>
      <c r="X98" s="208"/>
      <c r="Y98" s="208"/>
      <c r="Z98" s="208"/>
      <c r="AA98" s="208"/>
      <c r="AB98" s="208"/>
      <c r="AC98" s="208"/>
      <c r="AD98" s="208"/>
      <c r="AE98" s="208"/>
      <c r="AF98" s="45"/>
      <c r="AK98"/>
      <c r="AL98"/>
      <c r="AM98"/>
      <c r="AN98"/>
      <c r="AO98"/>
      <c r="AP98"/>
      <c r="AQ98"/>
      <c r="AR98"/>
      <c r="AS98"/>
      <c r="AT98"/>
      <c r="AU98"/>
    </row>
    <row r="99" spans="1:47">
      <c r="A99" s="206"/>
      <c r="B99" s="206"/>
      <c r="C99" s="206"/>
      <c r="D99" s="206"/>
      <c r="E99" s="206"/>
      <c r="F99" s="206"/>
      <c r="G99" s="206"/>
      <c r="H99" s="206"/>
      <c r="I99" s="206"/>
      <c r="J99" s="206"/>
      <c r="K99" s="206"/>
      <c r="L99" s="206"/>
      <c r="M99" s="206"/>
      <c r="N99" s="208"/>
      <c r="O99" s="208"/>
      <c r="P99" s="208"/>
      <c r="Q99" s="208"/>
      <c r="R99" s="208"/>
      <c r="S99" s="208"/>
      <c r="T99" s="208"/>
      <c r="U99" s="208"/>
      <c r="V99" s="208"/>
      <c r="W99" s="208"/>
      <c r="X99" s="208"/>
      <c r="Y99" s="208"/>
      <c r="Z99" s="208"/>
      <c r="AA99" s="208"/>
      <c r="AB99" s="208"/>
      <c r="AC99" s="208"/>
      <c r="AD99" s="208"/>
      <c r="AE99" s="208"/>
      <c r="AF99" s="45"/>
      <c r="AK99"/>
      <c r="AL99"/>
      <c r="AM99"/>
      <c r="AN99"/>
      <c r="AO99"/>
      <c r="AP99"/>
      <c r="AQ99"/>
      <c r="AR99"/>
      <c r="AS99"/>
      <c r="AT99"/>
      <c r="AU99"/>
    </row>
    <row r="100" spans="1:47">
      <c r="A100" s="206"/>
      <c r="B100" s="206"/>
      <c r="C100" s="206"/>
      <c r="D100" s="206"/>
      <c r="E100" s="206"/>
      <c r="F100" s="206"/>
      <c r="G100" s="206"/>
      <c r="H100" s="206"/>
      <c r="I100" s="206"/>
      <c r="J100" s="206"/>
      <c r="K100" s="206"/>
      <c r="L100" s="206"/>
      <c r="M100" s="206"/>
      <c r="N100" s="208"/>
      <c r="O100" s="208"/>
      <c r="P100" s="208"/>
      <c r="Q100" s="208"/>
      <c r="R100" s="208"/>
      <c r="S100" s="208"/>
      <c r="T100" s="208"/>
      <c r="U100" s="208"/>
      <c r="V100" s="208"/>
      <c r="W100" s="208"/>
      <c r="X100" s="208"/>
      <c r="Y100" s="208"/>
      <c r="Z100" s="208"/>
      <c r="AA100" s="208"/>
      <c r="AB100" s="208"/>
      <c r="AC100" s="208"/>
      <c r="AD100" s="208"/>
      <c r="AE100" s="208"/>
      <c r="AF100" s="45"/>
      <c r="AK100"/>
      <c r="AL100"/>
      <c r="AM100"/>
      <c r="AN100"/>
      <c r="AO100"/>
      <c r="AP100"/>
      <c r="AQ100"/>
      <c r="AR100"/>
      <c r="AS100"/>
      <c r="AT100"/>
      <c r="AU100"/>
    </row>
    <row r="101" spans="1:47">
      <c r="A101" s="206"/>
      <c r="B101" s="206"/>
      <c r="C101" s="206"/>
      <c r="D101" s="206"/>
      <c r="E101" s="206"/>
      <c r="F101" s="206"/>
      <c r="G101" s="206"/>
      <c r="H101" s="206"/>
      <c r="I101" s="206"/>
      <c r="J101" s="206"/>
      <c r="K101" s="206"/>
      <c r="L101" s="206"/>
      <c r="M101" s="206"/>
      <c r="N101" s="208"/>
      <c r="O101" s="208"/>
      <c r="P101" s="208"/>
      <c r="Q101" s="208"/>
      <c r="R101" s="208"/>
      <c r="S101" s="208"/>
      <c r="T101" s="208"/>
      <c r="U101" s="208"/>
      <c r="V101" s="208"/>
      <c r="W101" s="208"/>
      <c r="X101" s="208"/>
      <c r="Y101" s="208"/>
      <c r="Z101" s="208"/>
      <c r="AA101" s="208"/>
      <c r="AB101" s="208"/>
      <c r="AC101" s="208"/>
      <c r="AD101" s="208"/>
      <c r="AE101" s="208"/>
      <c r="AF101" s="45"/>
      <c r="AK101"/>
      <c r="AL101"/>
      <c r="AM101"/>
      <c r="AN101"/>
      <c r="AO101"/>
      <c r="AP101"/>
      <c r="AQ101"/>
      <c r="AR101"/>
      <c r="AS101"/>
      <c r="AT101"/>
      <c r="AU101"/>
    </row>
    <row r="102" spans="1:47">
      <c r="A102" s="206"/>
      <c r="B102" s="206"/>
      <c r="C102" s="206"/>
      <c r="D102" s="206"/>
      <c r="E102" s="206"/>
      <c r="F102" s="206"/>
      <c r="G102" s="206"/>
      <c r="H102" s="206"/>
      <c r="I102" s="206"/>
      <c r="J102" s="206"/>
      <c r="K102" s="206"/>
      <c r="L102" s="206"/>
      <c r="M102" s="206"/>
      <c r="N102" s="208"/>
      <c r="O102" s="208"/>
      <c r="P102" s="208"/>
      <c r="Q102" s="208"/>
      <c r="R102" s="208"/>
      <c r="S102" s="208"/>
      <c r="T102" s="208"/>
      <c r="U102" s="208"/>
      <c r="V102" s="208"/>
      <c r="W102" s="208"/>
      <c r="X102" s="208"/>
      <c r="Y102" s="208"/>
      <c r="Z102" s="208"/>
      <c r="AA102" s="208"/>
      <c r="AB102" s="208"/>
      <c r="AC102" s="208"/>
      <c r="AD102" s="208"/>
      <c r="AE102" s="208"/>
      <c r="AF102" s="45"/>
      <c r="AK102"/>
      <c r="AL102"/>
      <c r="AM102"/>
      <c r="AN102"/>
      <c r="AO102"/>
      <c r="AP102"/>
      <c r="AQ102"/>
      <c r="AR102"/>
      <c r="AS102"/>
      <c r="AT102"/>
      <c r="AU102"/>
    </row>
    <row r="103" spans="1:47">
      <c r="A103" s="206"/>
      <c r="B103" s="206"/>
      <c r="C103" s="206"/>
      <c r="D103" s="206"/>
      <c r="E103" s="206"/>
      <c r="F103" s="206"/>
      <c r="G103" s="206"/>
      <c r="H103" s="206"/>
      <c r="I103" s="206"/>
      <c r="J103" s="206"/>
      <c r="K103" s="206"/>
      <c r="L103" s="206"/>
      <c r="M103" s="206"/>
      <c r="N103" s="208"/>
      <c r="O103" s="208"/>
      <c r="P103" s="208"/>
      <c r="Q103" s="208"/>
      <c r="R103" s="208"/>
      <c r="S103" s="208"/>
      <c r="T103" s="208"/>
      <c r="U103" s="208"/>
      <c r="V103" s="208"/>
      <c r="W103" s="208"/>
      <c r="X103" s="208"/>
      <c r="Y103" s="208"/>
      <c r="Z103" s="208"/>
      <c r="AA103" s="208"/>
      <c r="AB103" s="208"/>
      <c r="AC103" s="208"/>
      <c r="AD103" s="208"/>
      <c r="AE103" s="208"/>
      <c r="AF103" s="45"/>
      <c r="AK103"/>
      <c r="AL103"/>
      <c r="AM103"/>
      <c r="AN103"/>
      <c r="AO103"/>
      <c r="AP103"/>
      <c r="AQ103"/>
      <c r="AR103"/>
      <c r="AS103"/>
      <c r="AT103"/>
      <c r="AU103"/>
    </row>
    <row r="104" spans="1:47">
      <c r="A104" s="206"/>
      <c r="B104" s="206"/>
      <c r="C104" s="206"/>
      <c r="D104" s="206"/>
      <c r="E104" s="206"/>
      <c r="F104" s="206"/>
      <c r="G104" s="206"/>
      <c r="H104" s="206"/>
      <c r="I104" s="206"/>
      <c r="J104" s="206"/>
      <c r="K104" s="206"/>
      <c r="L104" s="206"/>
      <c r="M104" s="206"/>
      <c r="N104" s="208"/>
      <c r="O104" s="208"/>
      <c r="P104" s="208"/>
      <c r="Q104" s="208"/>
      <c r="R104" s="208"/>
      <c r="S104" s="208"/>
      <c r="T104" s="208"/>
      <c r="U104" s="208"/>
      <c r="V104" s="208"/>
      <c r="W104" s="208"/>
      <c r="X104" s="208"/>
      <c r="Y104" s="208"/>
      <c r="Z104" s="208"/>
      <c r="AA104" s="208"/>
      <c r="AB104" s="208"/>
      <c r="AC104" s="208"/>
      <c r="AD104" s="208"/>
      <c r="AE104" s="208"/>
      <c r="AF104" s="45"/>
      <c r="AK104"/>
      <c r="AL104"/>
      <c r="AM104"/>
      <c r="AN104"/>
      <c r="AO104"/>
      <c r="AP104"/>
      <c r="AQ104"/>
      <c r="AR104"/>
      <c r="AS104"/>
      <c r="AT104"/>
      <c r="AU104"/>
    </row>
    <row r="105" spans="1:47">
      <c r="A105" s="206"/>
      <c r="B105" s="206"/>
      <c r="C105" s="206"/>
      <c r="D105" s="206"/>
      <c r="E105" s="206"/>
      <c r="F105" s="206"/>
      <c r="G105" s="206"/>
      <c r="H105" s="206"/>
      <c r="I105" s="206"/>
      <c r="J105" s="206"/>
      <c r="K105" s="206"/>
      <c r="L105" s="206"/>
      <c r="M105" s="206"/>
      <c r="N105" s="208"/>
      <c r="O105" s="208"/>
      <c r="P105" s="208"/>
      <c r="Q105" s="208"/>
      <c r="R105" s="208"/>
      <c r="S105" s="208"/>
      <c r="T105" s="208"/>
      <c r="U105" s="208"/>
      <c r="V105" s="208"/>
      <c r="W105" s="208"/>
      <c r="X105" s="208"/>
      <c r="Y105" s="208"/>
      <c r="Z105" s="208"/>
      <c r="AA105" s="208"/>
      <c r="AB105" s="208"/>
      <c r="AC105" s="208"/>
      <c r="AD105" s="208"/>
      <c r="AE105" s="208"/>
      <c r="AF105" s="45"/>
      <c r="AK105"/>
      <c r="AL105"/>
      <c r="AM105"/>
      <c r="AN105"/>
      <c r="AO105"/>
      <c r="AP105"/>
      <c r="AQ105"/>
      <c r="AR105"/>
      <c r="AS105"/>
      <c r="AT105"/>
      <c r="AU105"/>
    </row>
    <row r="106" spans="1:47">
      <c r="A106" s="206"/>
      <c r="B106" s="206"/>
      <c r="C106" s="206"/>
      <c r="D106" s="206"/>
      <c r="E106" s="206"/>
      <c r="F106" s="206"/>
      <c r="G106" s="206"/>
      <c r="H106" s="206"/>
      <c r="I106" s="206"/>
      <c r="J106" s="206"/>
      <c r="K106" s="206"/>
      <c r="L106" s="206"/>
      <c r="M106" s="206"/>
      <c r="N106" s="208"/>
      <c r="O106" s="208"/>
      <c r="P106" s="208"/>
      <c r="Q106" s="208"/>
      <c r="R106" s="208"/>
      <c r="S106" s="208"/>
      <c r="T106" s="208"/>
      <c r="U106" s="208"/>
      <c r="V106" s="208"/>
      <c r="W106" s="208"/>
      <c r="X106" s="208"/>
      <c r="Y106" s="208"/>
      <c r="Z106" s="208"/>
      <c r="AA106" s="208"/>
      <c r="AB106" s="208"/>
      <c r="AC106" s="208"/>
      <c r="AD106" s="208"/>
      <c r="AE106" s="208"/>
      <c r="AF106" s="45"/>
      <c r="AK106"/>
      <c r="AL106"/>
      <c r="AM106"/>
      <c r="AN106"/>
      <c r="AO106"/>
      <c r="AP106"/>
      <c r="AQ106"/>
      <c r="AR106"/>
      <c r="AS106"/>
      <c r="AT106"/>
      <c r="AU106"/>
    </row>
    <row r="107" spans="1:47">
      <c r="A107" s="206"/>
      <c r="B107" s="206"/>
      <c r="C107" s="206"/>
      <c r="D107" s="206"/>
      <c r="E107" s="206"/>
      <c r="F107" s="206"/>
      <c r="G107" s="206"/>
      <c r="H107" s="206"/>
      <c r="I107" s="206"/>
      <c r="J107" s="206"/>
      <c r="K107" s="206"/>
      <c r="L107" s="206"/>
      <c r="M107" s="206"/>
      <c r="N107" s="208"/>
      <c r="O107" s="208"/>
      <c r="P107" s="208"/>
      <c r="Q107" s="208"/>
      <c r="R107" s="208"/>
      <c r="S107" s="208"/>
      <c r="T107" s="208"/>
      <c r="U107" s="208"/>
      <c r="V107" s="208"/>
      <c r="W107" s="208"/>
      <c r="X107" s="208"/>
      <c r="Y107" s="208"/>
      <c r="Z107" s="208"/>
      <c r="AA107" s="208"/>
      <c r="AB107" s="208"/>
      <c r="AC107" s="208"/>
      <c r="AD107" s="208"/>
      <c r="AE107" s="208"/>
      <c r="AF107" s="45"/>
      <c r="AK107"/>
      <c r="AL107"/>
      <c r="AM107"/>
      <c r="AN107"/>
      <c r="AO107"/>
      <c r="AP107"/>
      <c r="AQ107"/>
      <c r="AR107"/>
      <c r="AS107"/>
      <c r="AT107"/>
      <c r="AU107"/>
    </row>
    <row r="108" spans="1:47">
      <c r="A108" s="206"/>
      <c r="B108" s="206"/>
      <c r="C108" s="206"/>
      <c r="D108" s="206"/>
      <c r="E108" s="206"/>
      <c r="F108" s="206"/>
      <c r="G108" s="206"/>
      <c r="H108" s="206"/>
      <c r="I108" s="206"/>
      <c r="J108" s="206"/>
      <c r="K108" s="206"/>
      <c r="L108" s="206"/>
      <c r="M108" s="206"/>
      <c r="N108" s="208"/>
      <c r="O108" s="208"/>
      <c r="P108" s="208"/>
      <c r="Q108" s="208"/>
      <c r="R108" s="208"/>
      <c r="S108" s="208"/>
      <c r="T108" s="208"/>
      <c r="U108" s="208"/>
      <c r="V108" s="208"/>
      <c r="W108" s="208"/>
      <c r="X108" s="208"/>
      <c r="Y108" s="208"/>
      <c r="Z108" s="208"/>
      <c r="AA108" s="208"/>
      <c r="AB108" s="208"/>
      <c r="AC108" s="208"/>
      <c r="AD108" s="208"/>
      <c r="AE108" s="208"/>
      <c r="AF108" s="45"/>
      <c r="AK108"/>
      <c r="AL108"/>
      <c r="AM108"/>
      <c r="AN108"/>
      <c r="AO108"/>
      <c r="AP108"/>
      <c r="AQ108"/>
      <c r="AR108"/>
      <c r="AS108"/>
      <c r="AT108"/>
      <c r="AU108"/>
    </row>
    <row r="109" spans="1:47">
      <c r="A109" s="206"/>
      <c r="B109" s="206"/>
      <c r="C109" s="206"/>
      <c r="D109" s="206"/>
      <c r="E109" s="206"/>
      <c r="F109" s="206"/>
      <c r="G109" s="206"/>
      <c r="H109" s="206"/>
      <c r="I109" s="206"/>
      <c r="J109" s="206"/>
      <c r="K109" s="206"/>
      <c r="L109" s="206"/>
      <c r="M109" s="206"/>
      <c r="N109" s="208"/>
      <c r="O109" s="208"/>
      <c r="P109" s="208"/>
      <c r="Q109" s="208"/>
      <c r="R109" s="208"/>
      <c r="S109" s="208"/>
      <c r="T109" s="208"/>
      <c r="U109" s="208"/>
      <c r="V109" s="208"/>
      <c r="W109" s="208"/>
      <c r="X109" s="208"/>
      <c r="Y109" s="208"/>
      <c r="Z109" s="208"/>
      <c r="AA109" s="208"/>
      <c r="AB109" s="208"/>
      <c r="AC109" s="208"/>
      <c r="AD109" s="208"/>
      <c r="AE109" s="208"/>
      <c r="AF109" s="45"/>
      <c r="AK109"/>
      <c r="AL109"/>
      <c r="AM109"/>
      <c r="AN109"/>
      <c r="AO109"/>
      <c r="AP109"/>
      <c r="AQ109"/>
      <c r="AR109"/>
      <c r="AS109"/>
      <c r="AT109"/>
      <c r="AU109"/>
    </row>
    <row r="110" spans="1:47">
      <c r="A110" s="206"/>
      <c r="B110" s="206"/>
      <c r="C110" s="206"/>
      <c r="D110" s="206"/>
      <c r="E110" s="206"/>
      <c r="F110" s="206"/>
      <c r="G110" s="206"/>
      <c r="H110" s="206"/>
      <c r="I110" s="206"/>
      <c r="J110" s="206"/>
      <c r="K110" s="206"/>
      <c r="L110" s="206"/>
      <c r="M110" s="206"/>
      <c r="N110" s="208"/>
      <c r="O110" s="208"/>
      <c r="P110" s="208"/>
      <c r="Q110" s="208"/>
      <c r="R110" s="208"/>
      <c r="S110" s="208"/>
      <c r="T110" s="208"/>
      <c r="U110" s="208"/>
      <c r="V110" s="208"/>
      <c r="W110" s="208"/>
      <c r="X110" s="208"/>
      <c r="Y110" s="208"/>
      <c r="Z110" s="208"/>
      <c r="AA110" s="208"/>
      <c r="AB110" s="208"/>
      <c r="AC110" s="208"/>
      <c r="AD110" s="208"/>
      <c r="AE110" s="208"/>
      <c r="AF110" s="45"/>
      <c r="AK110"/>
      <c r="AL110"/>
      <c r="AM110"/>
      <c r="AN110"/>
      <c r="AO110"/>
      <c r="AP110"/>
      <c r="AQ110"/>
      <c r="AR110"/>
      <c r="AS110"/>
      <c r="AT110"/>
      <c r="AU110"/>
    </row>
    <row r="111" spans="1:47">
      <c r="A111" s="206"/>
      <c r="B111" s="206"/>
      <c r="C111" s="206"/>
      <c r="D111" s="206"/>
      <c r="E111" s="206"/>
      <c r="F111" s="206"/>
      <c r="G111" s="206"/>
      <c r="H111" s="206"/>
      <c r="I111" s="206"/>
      <c r="J111" s="206"/>
      <c r="K111" s="206"/>
      <c r="L111" s="206"/>
      <c r="M111" s="206"/>
      <c r="N111" s="208"/>
      <c r="O111" s="208"/>
      <c r="P111" s="208"/>
      <c r="Q111" s="208"/>
      <c r="R111" s="208"/>
      <c r="S111" s="208"/>
      <c r="T111" s="208"/>
      <c r="U111" s="208"/>
      <c r="V111" s="208"/>
      <c r="W111" s="208"/>
      <c r="X111" s="208"/>
      <c r="Y111" s="208"/>
      <c r="Z111" s="208"/>
      <c r="AA111" s="208"/>
      <c r="AB111" s="208"/>
      <c r="AC111" s="208"/>
      <c r="AD111" s="208"/>
      <c r="AE111" s="208"/>
      <c r="AF111" s="45"/>
      <c r="AK111"/>
      <c r="AL111"/>
      <c r="AM111"/>
      <c r="AN111"/>
      <c r="AO111"/>
      <c r="AP111"/>
      <c r="AQ111"/>
      <c r="AR111"/>
      <c r="AS111"/>
      <c r="AT111"/>
      <c r="AU111"/>
    </row>
    <row r="112" spans="1:47">
      <c r="A112" s="206"/>
      <c r="B112" s="206"/>
      <c r="C112" s="206"/>
      <c r="D112" s="206"/>
      <c r="E112" s="206"/>
      <c r="F112" s="206"/>
      <c r="G112" s="206"/>
      <c r="H112" s="206"/>
      <c r="I112" s="206"/>
      <c r="J112" s="206"/>
      <c r="K112" s="206"/>
      <c r="L112" s="206"/>
      <c r="M112" s="206"/>
      <c r="N112" s="208"/>
      <c r="O112" s="208"/>
      <c r="P112" s="208"/>
      <c r="Q112" s="208"/>
      <c r="R112" s="208"/>
      <c r="S112" s="208"/>
      <c r="T112" s="208"/>
      <c r="U112" s="208"/>
      <c r="V112" s="208"/>
      <c r="W112" s="208"/>
      <c r="X112" s="208"/>
      <c r="Y112" s="208"/>
      <c r="Z112" s="208"/>
      <c r="AA112" s="208"/>
      <c r="AB112" s="208"/>
      <c r="AC112" s="208"/>
      <c r="AD112" s="208"/>
      <c r="AE112" s="208"/>
      <c r="AF112" s="45"/>
      <c r="AK112"/>
      <c r="AL112"/>
      <c r="AM112"/>
      <c r="AN112"/>
      <c r="AO112"/>
      <c r="AP112"/>
      <c r="AQ112"/>
      <c r="AR112"/>
      <c r="AS112"/>
      <c r="AT112"/>
      <c r="AU112"/>
    </row>
    <row r="113" spans="1:47">
      <c r="A113" s="206"/>
      <c r="B113" s="206"/>
      <c r="C113" s="206"/>
      <c r="D113" s="206"/>
      <c r="E113" s="206"/>
      <c r="F113" s="206"/>
      <c r="G113" s="206"/>
      <c r="H113" s="206"/>
      <c r="I113" s="206"/>
      <c r="J113" s="206"/>
      <c r="K113" s="206"/>
      <c r="L113" s="206"/>
      <c r="M113" s="206"/>
      <c r="N113" s="208"/>
      <c r="O113" s="208"/>
      <c r="P113" s="208"/>
      <c r="Q113" s="208"/>
      <c r="R113" s="208"/>
      <c r="S113" s="208"/>
      <c r="T113" s="208"/>
      <c r="U113" s="208"/>
      <c r="V113" s="208"/>
      <c r="W113" s="208"/>
      <c r="X113" s="208"/>
      <c r="Y113" s="208"/>
      <c r="Z113" s="208"/>
      <c r="AA113" s="208"/>
      <c r="AB113" s="208"/>
      <c r="AC113" s="208"/>
      <c r="AD113" s="208"/>
      <c r="AE113" s="208"/>
      <c r="AF113" s="45"/>
      <c r="AK113"/>
      <c r="AL113"/>
      <c r="AM113"/>
      <c r="AN113"/>
      <c r="AO113"/>
      <c r="AP113"/>
      <c r="AQ113"/>
      <c r="AR113"/>
      <c r="AS113"/>
      <c r="AT113"/>
      <c r="AU113"/>
    </row>
    <row r="114" spans="1:47">
      <c r="A114" s="206"/>
      <c r="B114" s="206"/>
      <c r="C114" s="206"/>
      <c r="D114" s="206"/>
      <c r="E114" s="206"/>
      <c r="F114" s="206"/>
      <c r="G114" s="206"/>
      <c r="H114" s="206"/>
      <c r="I114" s="206"/>
      <c r="J114" s="206"/>
      <c r="K114" s="206"/>
      <c r="L114" s="206"/>
      <c r="M114" s="206"/>
      <c r="N114" s="208"/>
      <c r="O114" s="208"/>
      <c r="P114" s="208"/>
      <c r="Q114" s="208"/>
      <c r="R114" s="208"/>
      <c r="S114" s="208"/>
      <c r="T114" s="208"/>
      <c r="U114" s="208"/>
      <c r="V114" s="208"/>
      <c r="W114" s="208"/>
      <c r="X114" s="208"/>
      <c r="Y114" s="208"/>
      <c r="Z114" s="208"/>
      <c r="AA114" s="208"/>
      <c r="AB114" s="208"/>
      <c r="AC114" s="208"/>
      <c r="AD114" s="208"/>
      <c r="AE114" s="208"/>
      <c r="AF114" s="45"/>
      <c r="AK114"/>
      <c r="AL114"/>
      <c r="AM114"/>
      <c r="AN114"/>
      <c r="AO114"/>
      <c r="AP114"/>
      <c r="AQ114"/>
      <c r="AR114"/>
      <c r="AS114"/>
      <c r="AT114"/>
      <c r="AU114"/>
    </row>
    <row r="115" spans="1:47">
      <c r="A115" s="206"/>
      <c r="B115" s="206"/>
      <c r="C115" s="206"/>
      <c r="D115" s="206"/>
      <c r="E115" s="206"/>
      <c r="F115" s="206"/>
      <c r="G115" s="206"/>
      <c r="H115" s="206"/>
      <c r="I115" s="206"/>
      <c r="J115" s="206"/>
      <c r="K115" s="206"/>
      <c r="L115" s="206"/>
      <c r="M115" s="206"/>
      <c r="N115" s="208"/>
      <c r="O115" s="208"/>
      <c r="P115" s="208"/>
      <c r="Q115" s="208"/>
      <c r="R115" s="208"/>
      <c r="S115" s="208"/>
      <c r="T115" s="208"/>
      <c r="U115" s="208"/>
      <c r="V115" s="208"/>
      <c r="W115" s="208"/>
      <c r="X115" s="208"/>
      <c r="Y115" s="208"/>
      <c r="Z115" s="208"/>
      <c r="AA115" s="208"/>
      <c r="AB115" s="208"/>
      <c r="AC115" s="208"/>
      <c r="AD115" s="208"/>
      <c r="AE115" s="208"/>
      <c r="AF115" s="45"/>
      <c r="AK115"/>
      <c r="AL115"/>
      <c r="AM115"/>
      <c r="AN115"/>
      <c r="AO115"/>
      <c r="AP115"/>
      <c r="AQ115"/>
      <c r="AR115"/>
      <c r="AS115"/>
      <c r="AT115"/>
      <c r="AU115"/>
    </row>
    <row r="116" spans="1:47">
      <c r="A116" s="206"/>
      <c r="B116" s="206"/>
      <c r="C116" s="206"/>
      <c r="D116" s="206"/>
      <c r="E116" s="206"/>
      <c r="F116" s="206"/>
      <c r="G116" s="206"/>
      <c r="H116" s="206"/>
      <c r="I116" s="206"/>
      <c r="J116" s="206"/>
      <c r="K116" s="206"/>
      <c r="L116" s="206"/>
      <c r="M116" s="206"/>
      <c r="N116" s="208"/>
      <c r="O116" s="208"/>
      <c r="P116" s="208"/>
      <c r="Q116" s="208"/>
      <c r="R116" s="208"/>
      <c r="S116" s="208"/>
      <c r="T116" s="208"/>
      <c r="U116" s="208"/>
      <c r="V116" s="208"/>
      <c r="W116" s="208"/>
      <c r="X116" s="208"/>
      <c r="Y116" s="208"/>
      <c r="Z116" s="208"/>
      <c r="AA116" s="208"/>
      <c r="AB116" s="208"/>
      <c r="AC116" s="208"/>
      <c r="AD116" s="208"/>
      <c r="AE116" s="208"/>
      <c r="AF116" s="45"/>
      <c r="AK116"/>
      <c r="AL116"/>
      <c r="AM116"/>
      <c r="AN116"/>
      <c r="AO116"/>
      <c r="AP116"/>
      <c r="AQ116"/>
      <c r="AR116"/>
      <c r="AS116"/>
      <c r="AT116"/>
      <c r="AU116"/>
    </row>
    <row r="117" spans="1:47">
      <c r="A117" s="206"/>
      <c r="B117" s="206"/>
      <c r="C117" s="206"/>
      <c r="D117" s="206"/>
      <c r="E117" s="206"/>
      <c r="F117" s="206"/>
      <c r="G117" s="206"/>
      <c r="H117" s="206"/>
      <c r="I117" s="206"/>
      <c r="J117" s="206"/>
      <c r="K117" s="206"/>
      <c r="L117" s="206"/>
      <c r="M117" s="206"/>
      <c r="N117" s="208"/>
      <c r="O117" s="208"/>
      <c r="P117" s="208"/>
      <c r="Q117" s="208"/>
      <c r="R117" s="208"/>
      <c r="S117" s="208"/>
      <c r="T117" s="208"/>
      <c r="U117" s="208"/>
      <c r="V117" s="208"/>
      <c r="W117" s="208"/>
      <c r="X117" s="208"/>
      <c r="Y117" s="208"/>
      <c r="Z117" s="208"/>
      <c r="AA117" s="208"/>
      <c r="AB117" s="208"/>
      <c r="AC117" s="208"/>
      <c r="AD117" s="208"/>
      <c r="AE117" s="208"/>
      <c r="AF117" s="45"/>
      <c r="AK117"/>
      <c r="AL117"/>
      <c r="AM117"/>
      <c r="AN117"/>
      <c r="AO117"/>
      <c r="AP117"/>
      <c r="AQ117"/>
      <c r="AR117"/>
      <c r="AS117"/>
      <c r="AT117"/>
      <c r="AU117"/>
    </row>
    <row r="118" spans="1:47">
      <c r="A118" s="206"/>
      <c r="B118" s="206"/>
      <c r="C118" s="206"/>
      <c r="D118" s="206"/>
      <c r="E118" s="206"/>
      <c r="F118" s="206"/>
      <c r="G118" s="206"/>
      <c r="H118" s="206"/>
      <c r="I118" s="206"/>
      <c r="J118" s="206"/>
      <c r="K118" s="206"/>
      <c r="L118" s="206"/>
      <c r="M118" s="206"/>
      <c r="N118" s="208"/>
      <c r="O118" s="208"/>
      <c r="P118" s="208"/>
      <c r="Q118" s="208"/>
      <c r="R118" s="208"/>
      <c r="S118" s="208"/>
      <c r="T118" s="208"/>
      <c r="U118" s="208"/>
      <c r="V118" s="208"/>
      <c r="W118" s="208"/>
      <c r="X118" s="208"/>
      <c r="Y118" s="208"/>
      <c r="Z118" s="208"/>
      <c r="AA118" s="208"/>
      <c r="AB118" s="208"/>
      <c r="AC118" s="208"/>
      <c r="AD118" s="208"/>
      <c r="AE118" s="208"/>
      <c r="AF118" s="45"/>
      <c r="AK118"/>
      <c r="AL118"/>
      <c r="AM118"/>
      <c r="AN118"/>
      <c r="AO118"/>
      <c r="AP118"/>
      <c r="AQ118"/>
      <c r="AR118"/>
      <c r="AS118"/>
      <c r="AT118"/>
      <c r="AU118"/>
    </row>
    <row r="119" spans="1:47">
      <c r="A119" s="206"/>
      <c r="B119" s="206"/>
      <c r="C119" s="206"/>
      <c r="D119" s="206"/>
      <c r="E119" s="206"/>
      <c r="F119" s="206"/>
      <c r="G119" s="206"/>
      <c r="H119" s="206"/>
      <c r="I119" s="206"/>
      <c r="J119" s="206"/>
      <c r="K119" s="206"/>
      <c r="L119" s="206"/>
      <c r="M119" s="206"/>
      <c r="N119" s="208"/>
      <c r="O119" s="208"/>
      <c r="P119" s="208"/>
      <c r="Q119" s="208"/>
      <c r="R119" s="208"/>
      <c r="S119" s="208"/>
      <c r="T119" s="208"/>
      <c r="U119" s="208"/>
      <c r="V119" s="208"/>
      <c r="W119" s="208"/>
      <c r="X119" s="208"/>
      <c r="Y119" s="208"/>
      <c r="Z119" s="208"/>
      <c r="AA119" s="208"/>
      <c r="AB119" s="208"/>
      <c r="AC119" s="208"/>
      <c r="AD119" s="208"/>
      <c r="AE119" s="208"/>
      <c r="AF119" s="45"/>
      <c r="AK119"/>
      <c r="AL119"/>
      <c r="AM119"/>
      <c r="AN119"/>
      <c r="AO119"/>
      <c r="AP119"/>
      <c r="AQ119"/>
      <c r="AR119"/>
      <c r="AS119"/>
      <c r="AT119"/>
      <c r="AU119"/>
    </row>
    <row r="120" spans="1:47">
      <c r="A120" s="206"/>
      <c r="B120" s="206"/>
      <c r="C120" s="206"/>
      <c r="D120" s="206"/>
      <c r="E120" s="206"/>
      <c r="F120" s="206"/>
      <c r="G120" s="206"/>
      <c r="H120" s="206"/>
      <c r="I120" s="206"/>
      <c r="J120" s="206"/>
      <c r="K120" s="206"/>
      <c r="L120" s="206"/>
      <c r="M120" s="206"/>
      <c r="N120" s="208"/>
      <c r="O120" s="208"/>
      <c r="P120" s="208"/>
      <c r="Q120" s="208"/>
      <c r="R120" s="208"/>
      <c r="S120" s="208"/>
      <c r="T120" s="208"/>
      <c r="U120" s="208"/>
      <c r="V120" s="208"/>
      <c r="W120" s="208"/>
      <c r="X120" s="208"/>
      <c r="Y120" s="208"/>
      <c r="Z120" s="208"/>
      <c r="AA120" s="208"/>
      <c r="AB120" s="208"/>
      <c r="AC120" s="208"/>
      <c r="AD120" s="208"/>
      <c r="AE120" s="208"/>
      <c r="AF120" s="45"/>
      <c r="AK120"/>
      <c r="AL120"/>
      <c r="AM120"/>
      <c r="AN120"/>
      <c r="AO120"/>
      <c r="AP120"/>
      <c r="AQ120"/>
      <c r="AR120"/>
      <c r="AS120"/>
      <c r="AT120"/>
      <c r="AU120"/>
    </row>
    <row r="121" spans="1:47">
      <c r="A121" s="206"/>
      <c r="B121" s="206"/>
      <c r="C121" s="206"/>
      <c r="D121" s="206"/>
      <c r="E121" s="206"/>
      <c r="F121" s="206"/>
      <c r="G121" s="206"/>
      <c r="H121" s="206"/>
      <c r="I121" s="206"/>
      <c r="J121" s="206"/>
      <c r="K121" s="206"/>
      <c r="L121" s="206"/>
      <c r="M121" s="206"/>
      <c r="N121" s="208"/>
      <c r="O121" s="208"/>
      <c r="P121" s="208"/>
      <c r="Q121" s="208"/>
      <c r="R121" s="208"/>
      <c r="S121" s="208"/>
      <c r="T121" s="208"/>
      <c r="U121" s="208"/>
      <c r="V121" s="208"/>
      <c r="W121" s="208"/>
      <c r="X121" s="208"/>
      <c r="Y121" s="208"/>
      <c r="Z121" s="208"/>
      <c r="AA121" s="208"/>
      <c r="AB121" s="208"/>
      <c r="AC121" s="208"/>
      <c r="AD121" s="208"/>
      <c r="AE121" s="208"/>
      <c r="AF121" s="45"/>
      <c r="AK121"/>
      <c r="AL121"/>
      <c r="AM121"/>
      <c r="AN121"/>
      <c r="AO121"/>
      <c r="AP121"/>
      <c r="AQ121"/>
      <c r="AR121"/>
      <c r="AS121"/>
      <c r="AT121"/>
      <c r="AU121"/>
    </row>
    <row r="122" spans="1:47">
      <c r="A122" s="206"/>
      <c r="B122" s="206"/>
      <c r="C122" s="206"/>
      <c r="D122" s="206"/>
      <c r="E122" s="206"/>
      <c r="F122" s="206"/>
      <c r="G122" s="206"/>
      <c r="H122" s="206"/>
      <c r="I122" s="206"/>
      <c r="J122" s="206"/>
      <c r="K122" s="206"/>
      <c r="L122" s="206"/>
      <c r="M122" s="206"/>
      <c r="N122" s="208"/>
      <c r="O122" s="208"/>
      <c r="P122" s="208"/>
      <c r="Q122" s="208"/>
      <c r="R122" s="208"/>
      <c r="S122" s="208"/>
      <c r="T122" s="208"/>
      <c r="U122" s="208"/>
      <c r="V122" s="208"/>
      <c r="W122" s="208"/>
      <c r="X122" s="208"/>
      <c r="Y122" s="208"/>
      <c r="Z122" s="208"/>
      <c r="AA122" s="208"/>
      <c r="AB122" s="208"/>
      <c r="AC122" s="208"/>
      <c r="AD122" s="208"/>
      <c r="AE122" s="208"/>
      <c r="AF122" s="45"/>
      <c r="AK122"/>
      <c r="AL122"/>
      <c r="AM122"/>
      <c r="AN122"/>
      <c r="AO122"/>
      <c r="AP122"/>
      <c r="AQ122"/>
      <c r="AR122"/>
      <c r="AS122"/>
      <c r="AT122"/>
      <c r="AU122"/>
    </row>
    <row r="123" spans="1:47">
      <c r="A123" s="206"/>
      <c r="B123" s="206"/>
      <c r="C123" s="206"/>
      <c r="D123" s="206"/>
      <c r="E123" s="206"/>
      <c r="F123" s="206"/>
      <c r="G123" s="206"/>
      <c r="H123" s="206"/>
      <c r="I123" s="206"/>
      <c r="J123" s="206"/>
      <c r="K123" s="206"/>
      <c r="L123" s="206"/>
      <c r="M123" s="206"/>
      <c r="N123" s="208"/>
      <c r="O123" s="208"/>
      <c r="P123" s="208"/>
      <c r="Q123" s="208"/>
      <c r="R123" s="208"/>
      <c r="S123" s="208"/>
      <c r="T123" s="208"/>
      <c r="U123" s="208"/>
      <c r="V123" s="208"/>
      <c r="W123" s="208"/>
      <c r="X123" s="208"/>
      <c r="Y123" s="208"/>
      <c r="Z123" s="208"/>
      <c r="AA123" s="208"/>
      <c r="AB123" s="208"/>
      <c r="AC123" s="208"/>
      <c r="AD123" s="208"/>
      <c r="AE123" s="208"/>
      <c r="AF123" s="45"/>
      <c r="AK123"/>
      <c r="AL123"/>
      <c r="AM123"/>
      <c r="AN123"/>
      <c r="AO123"/>
      <c r="AP123"/>
      <c r="AQ123"/>
      <c r="AR123"/>
      <c r="AS123"/>
      <c r="AT123"/>
      <c r="AU123"/>
    </row>
    <row r="124" spans="1:47">
      <c r="A124" s="206"/>
      <c r="B124" s="206"/>
      <c r="C124" s="206"/>
      <c r="D124" s="206"/>
      <c r="E124" s="206"/>
      <c r="F124" s="206"/>
      <c r="G124" s="206"/>
      <c r="H124" s="206"/>
      <c r="I124" s="206"/>
      <c r="J124" s="206"/>
      <c r="K124" s="206"/>
      <c r="L124" s="206"/>
      <c r="M124" s="206"/>
      <c r="N124" s="208"/>
      <c r="O124" s="208"/>
      <c r="P124" s="208"/>
      <c r="Q124" s="208"/>
      <c r="R124" s="208"/>
      <c r="S124" s="208"/>
      <c r="T124" s="208"/>
      <c r="U124" s="208"/>
      <c r="V124" s="208"/>
      <c r="W124" s="208"/>
      <c r="X124" s="208"/>
      <c r="Y124" s="208"/>
      <c r="Z124" s="208"/>
      <c r="AA124" s="208"/>
      <c r="AB124" s="208"/>
      <c r="AC124" s="208"/>
      <c r="AD124" s="208"/>
      <c r="AE124" s="208"/>
      <c r="AF124" s="45"/>
      <c r="AK124"/>
      <c r="AL124"/>
      <c r="AM124"/>
      <c r="AN124"/>
      <c r="AO124"/>
      <c r="AP124"/>
      <c r="AQ124"/>
      <c r="AR124"/>
      <c r="AS124"/>
      <c r="AT124"/>
      <c r="AU124"/>
    </row>
    <row r="125" spans="1:47">
      <c r="A125" s="206"/>
      <c r="B125" s="206"/>
      <c r="C125" s="206"/>
      <c r="D125" s="206"/>
      <c r="E125" s="206"/>
      <c r="F125" s="206"/>
      <c r="G125" s="206"/>
      <c r="H125" s="206"/>
      <c r="I125" s="206"/>
      <c r="J125" s="206"/>
      <c r="K125" s="206"/>
      <c r="L125" s="206"/>
      <c r="M125" s="206"/>
      <c r="N125" s="208"/>
      <c r="O125" s="208"/>
      <c r="P125" s="208"/>
      <c r="Q125" s="208"/>
      <c r="R125" s="208"/>
      <c r="S125" s="208"/>
      <c r="T125" s="208"/>
      <c r="U125" s="208"/>
      <c r="V125" s="208"/>
      <c r="W125" s="208"/>
      <c r="X125" s="208"/>
      <c r="Y125" s="208"/>
      <c r="Z125" s="208"/>
      <c r="AA125" s="208"/>
      <c r="AB125" s="208"/>
      <c r="AC125" s="208"/>
      <c r="AD125" s="208"/>
      <c r="AE125" s="208"/>
      <c r="AF125" s="45"/>
      <c r="AK125"/>
      <c r="AL125"/>
      <c r="AM125"/>
      <c r="AN125"/>
      <c r="AO125"/>
      <c r="AP125"/>
      <c r="AQ125"/>
      <c r="AR125"/>
      <c r="AS125"/>
      <c r="AT125"/>
      <c r="AU125"/>
    </row>
    <row r="126" spans="1:47">
      <c r="A126" s="206"/>
      <c r="B126" s="206"/>
      <c r="C126" s="206"/>
      <c r="D126" s="206"/>
      <c r="E126" s="206"/>
      <c r="F126" s="206"/>
      <c r="G126" s="206"/>
      <c r="H126" s="206"/>
      <c r="I126" s="206"/>
      <c r="J126" s="206"/>
      <c r="K126" s="206"/>
      <c r="L126" s="206"/>
      <c r="M126" s="206"/>
      <c r="N126" s="208"/>
      <c r="O126" s="208"/>
      <c r="P126" s="208"/>
      <c r="Q126" s="208"/>
      <c r="R126" s="208"/>
      <c r="S126" s="208"/>
      <c r="T126" s="208"/>
      <c r="U126" s="208"/>
      <c r="V126" s="208"/>
      <c r="W126" s="208"/>
      <c r="X126" s="208"/>
      <c r="Y126" s="208"/>
      <c r="Z126" s="208"/>
      <c r="AA126" s="208"/>
      <c r="AB126" s="208"/>
      <c r="AC126" s="208"/>
      <c r="AD126" s="208"/>
      <c r="AE126" s="208"/>
      <c r="AF126" s="45"/>
      <c r="AK126"/>
      <c r="AL126"/>
      <c r="AM126"/>
      <c r="AN126"/>
      <c r="AO126"/>
      <c r="AP126"/>
      <c r="AQ126"/>
      <c r="AR126"/>
      <c r="AS126"/>
      <c r="AT126"/>
      <c r="AU126"/>
    </row>
    <row r="127" spans="1:47">
      <c r="A127" s="206"/>
      <c r="B127" s="206"/>
      <c r="C127" s="206"/>
      <c r="D127" s="206"/>
      <c r="E127" s="206"/>
      <c r="F127" s="206"/>
      <c r="G127" s="206"/>
      <c r="H127" s="206"/>
      <c r="I127" s="206"/>
      <c r="J127" s="206"/>
      <c r="K127" s="206"/>
      <c r="L127" s="206"/>
      <c r="M127" s="206"/>
      <c r="N127" s="208"/>
      <c r="O127" s="208"/>
      <c r="P127" s="208"/>
      <c r="Q127" s="208"/>
      <c r="R127" s="208"/>
      <c r="S127" s="208"/>
      <c r="T127" s="208"/>
      <c r="U127" s="208"/>
      <c r="V127" s="208"/>
      <c r="W127" s="208"/>
      <c r="X127" s="208"/>
      <c r="Y127" s="208"/>
      <c r="Z127" s="208"/>
      <c r="AA127" s="208"/>
      <c r="AB127" s="208"/>
      <c r="AC127" s="208"/>
      <c r="AD127" s="208"/>
      <c r="AE127" s="208"/>
      <c r="AF127" s="45"/>
      <c r="AK127"/>
      <c r="AL127"/>
      <c r="AM127"/>
      <c r="AN127"/>
      <c r="AO127"/>
      <c r="AP127"/>
      <c r="AQ127"/>
      <c r="AR127"/>
      <c r="AS127"/>
      <c r="AT127"/>
      <c r="AU127"/>
    </row>
    <row r="128" spans="1:47">
      <c r="A128" s="206"/>
      <c r="B128" s="206"/>
      <c r="C128" s="206"/>
      <c r="D128" s="206"/>
      <c r="E128" s="206"/>
      <c r="F128" s="206"/>
      <c r="G128" s="206"/>
      <c r="H128" s="206"/>
      <c r="I128" s="206"/>
      <c r="J128" s="206"/>
      <c r="K128" s="206"/>
      <c r="L128" s="206"/>
      <c r="M128" s="206"/>
      <c r="N128" s="208"/>
      <c r="O128" s="208"/>
      <c r="P128" s="208"/>
      <c r="Q128" s="208"/>
      <c r="R128" s="208"/>
      <c r="S128" s="208"/>
      <c r="T128" s="208"/>
      <c r="U128" s="208"/>
      <c r="V128" s="208"/>
      <c r="W128" s="208"/>
      <c r="X128" s="208"/>
      <c r="Y128" s="208"/>
      <c r="Z128" s="208"/>
      <c r="AA128" s="208"/>
      <c r="AB128" s="208"/>
      <c r="AC128" s="208"/>
      <c r="AD128" s="208"/>
      <c r="AE128" s="208"/>
      <c r="AF128" s="45"/>
      <c r="AK128"/>
      <c r="AL128"/>
      <c r="AM128"/>
      <c r="AN128"/>
      <c r="AO128"/>
      <c r="AP128"/>
      <c r="AQ128"/>
      <c r="AR128"/>
      <c r="AS128"/>
      <c r="AT128"/>
      <c r="AU128"/>
    </row>
    <row r="129" spans="1:47">
      <c r="A129" s="206"/>
      <c r="B129" s="206"/>
      <c r="C129" s="206"/>
      <c r="D129" s="206"/>
      <c r="E129" s="206"/>
      <c r="F129" s="206"/>
      <c r="G129" s="206"/>
      <c r="H129" s="206"/>
      <c r="I129" s="206"/>
      <c r="J129" s="206"/>
      <c r="K129" s="206"/>
      <c r="L129" s="206"/>
      <c r="M129" s="206"/>
      <c r="N129" s="208"/>
      <c r="O129" s="208"/>
      <c r="P129" s="208"/>
      <c r="Q129" s="208"/>
      <c r="R129" s="208"/>
      <c r="S129" s="208"/>
      <c r="T129" s="208"/>
      <c r="U129" s="208"/>
      <c r="V129" s="208"/>
      <c r="W129" s="208"/>
      <c r="X129" s="208"/>
      <c r="Y129" s="208"/>
      <c r="Z129" s="208"/>
      <c r="AA129" s="208"/>
      <c r="AB129" s="208"/>
      <c r="AC129" s="208"/>
      <c r="AD129" s="208"/>
      <c r="AE129" s="208"/>
      <c r="AF129" s="45"/>
      <c r="AK129"/>
      <c r="AL129"/>
      <c r="AM129"/>
      <c r="AN129"/>
      <c r="AO129"/>
      <c r="AP129"/>
      <c r="AQ129"/>
      <c r="AR129"/>
      <c r="AS129"/>
      <c r="AT129"/>
      <c r="AU129"/>
    </row>
    <row r="130" spans="1:47">
      <c r="A130" s="206"/>
      <c r="B130" s="206"/>
      <c r="C130" s="206"/>
      <c r="D130" s="206"/>
      <c r="E130" s="206"/>
      <c r="F130" s="206"/>
      <c r="G130" s="206"/>
      <c r="H130" s="206"/>
      <c r="I130" s="206"/>
      <c r="J130" s="206"/>
      <c r="K130" s="206"/>
      <c r="L130" s="206"/>
      <c r="M130" s="206"/>
      <c r="N130" s="208"/>
      <c r="O130" s="208"/>
      <c r="P130" s="208"/>
      <c r="Q130" s="208"/>
      <c r="R130" s="208"/>
      <c r="S130" s="208"/>
      <c r="T130" s="208"/>
      <c r="U130" s="208"/>
      <c r="V130" s="208"/>
      <c r="W130" s="208"/>
      <c r="X130" s="208"/>
      <c r="Y130" s="208"/>
      <c r="Z130" s="208"/>
      <c r="AA130" s="208"/>
      <c r="AB130" s="208"/>
      <c r="AC130" s="208"/>
      <c r="AD130" s="208"/>
      <c r="AE130" s="208"/>
      <c r="AF130" s="45"/>
      <c r="AK130"/>
      <c r="AL130"/>
      <c r="AM130"/>
      <c r="AN130"/>
      <c r="AO130"/>
      <c r="AP130"/>
      <c r="AQ130"/>
      <c r="AR130"/>
      <c r="AS130"/>
      <c r="AT130"/>
      <c r="AU130"/>
    </row>
    <row r="131" spans="1:47">
      <c r="A131" s="206"/>
      <c r="B131" s="206"/>
      <c r="C131" s="206"/>
      <c r="D131" s="206"/>
      <c r="E131" s="206"/>
      <c r="F131" s="206"/>
      <c r="G131" s="206"/>
      <c r="H131" s="206"/>
      <c r="I131" s="206"/>
      <c r="J131" s="206"/>
      <c r="K131" s="206"/>
      <c r="L131" s="206"/>
      <c r="M131" s="206"/>
      <c r="N131" s="208"/>
      <c r="O131" s="208"/>
      <c r="P131" s="208"/>
      <c r="Q131" s="208"/>
      <c r="R131" s="208"/>
      <c r="S131" s="208"/>
      <c r="T131" s="208"/>
      <c r="U131" s="208"/>
      <c r="V131" s="208"/>
      <c r="W131" s="208"/>
      <c r="X131" s="208"/>
      <c r="Y131" s="208"/>
      <c r="Z131" s="208"/>
      <c r="AA131" s="208"/>
      <c r="AB131" s="208"/>
      <c r="AC131" s="208"/>
      <c r="AD131" s="208"/>
      <c r="AE131" s="208"/>
      <c r="AF131" s="45"/>
      <c r="AK131"/>
      <c r="AL131"/>
      <c r="AM131"/>
      <c r="AN131"/>
      <c r="AO131"/>
      <c r="AP131"/>
      <c r="AQ131"/>
      <c r="AR131"/>
      <c r="AS131"/>
      <c r="AT131"/>
      <c r="AU131"/>
    </row>
    <row r="132" spans="1:47">
      <c r="A132" s="206"/>
      <c r="B132" s="206"/>
      <c r="C132" s="206"/>
      <c r="D132" s="206"/>
      <c r="E132" s="206"/>
      <c r="F132" s="206"/>
      <c r="G132" s="206"/>
      <c r="H132" s="206"/>
      <c r="I132" s="206"/>
      <c r="J132" s="206"/>
      <c r="K132" s="206"/>
      <c r="L132" s="206"/>
      <c r="M132" s="206"/>
      <c r="N132" s="208"/>
      <c r="O132" s="208"/>
      <c r="P132" s="208"/>
      <c r="Q132" s="208"/>
      <c r="R132" s="208"/>
      <c r="S132" s="208"/>
      <c r="T132" s="208"/>
      <c r="U132" s="208"/>
      <c r="V132" s="208"/>
      <c r="W132" s="208"/>
      <c r="X132" s="208"/>
      <c r="Y132" s="208"/>
      <c r="Z132" s="208"/>
      <c r="AA132" s="208"/>
      <c r="AB132" s="208"/>
      <c r="AC132" s="208"/>
      <c r="AD132" s="208"/>
      <c r="AE132" s="208"/>
      <c r="AF132" s="45"/>
      <c r="AK132"/>
      <c r="AL132"/>
      <c r="AM132"/>
      <c r="AN132"/>
      <c r="AO132"/>
      <c r="AP132"/>
      <c r="AQ132"/>
      <c r="AR132"/>
      <c r="AS132"/>
      <c r="AT132"/>
      <c r="AU132"/>
    </row>
    <row r="133" spans="1:47">
      <c r="A133" s="206"/>
      <c r="B133" s="206"/>
      <c r="C133" s="206"/>
      <c r="D133" s="206"/>
      <c r="E133" s="206"/>
      <c r="F133" s="206"/>
      <c r="G133" s="206"/>
      <c r="H133" s="206"/>
      <c r="I133" s="206"/>
      <c r="J133" s="206"/>
      <c r="K133" s="206"/>
      <c r="L133" s="206"/>
      <c r="M133" s="206"/>
      <c r="N133" s="208"/>
      <c r="O133" s="208"/>
      <c r="P133" s="208"/>
      <c r="Q133" s="208"/>
      <c r="R133" s="208"/>
      <c r="S133" s="208"/>
      <c r="T133" s="208"/>
      <c r="U133" s="208"/>
      <c r="V133" s="208"/>
      <c r="W133" s="208"/>
      <c r="X133" s="208"/>
      <c r="Y133" s="208"/>
      <c r="Z133" s="208"/>
      <c r="AA133" s="208"/>
      <c r="AB133" s="208"/>
      <c r="AC133" s="208"/>
      <c r="AD133" s="208"/>
      <c r="AE133" s="208"/>
      <c r="AF133" s="45"/>
      <c r="AK133"/>
      <c r="AL133"/>
      <c r="AM133"/>
      <c r="AN133"/>
      <c r="AO133"/>
      <c r="AP133"/>
      <c r="AQ133"/>
      <c r="AR133"/>
      <c r="AS133"/>
      <c r="AT133"/>
      <c r="AU133"/>
    </row>
    <row r="134" spans="1:47">
      <c r="A134" s="206"/>
      <c r="B134" s="206"/>
      <c r="C134" s="206"/>
      <c r="D134" s="206"/>
      <c r="E134" s="206"/>
      <c r="F134" s="206"/>
      <c r="G134" s="206"/>
      <c r="H134" s="206"/>
      <c r="I134" s="206"/>
      <c r="J134" s="206"/>
      <c r="K134" s="206"/>
      <c r="L134" s="206"/>
      <c r="M134" s="206"/>
      <c r="N134" s="208"/>
      <c r="O134" s="208"/>
      <c r="P134" s="208"/>
      <c r="Q134" s="208"/>
      <c r="R134" s="208"/>
      <c r="S134" s="208"/>
      <c r="T134" s="208"/>
      <c r="U134" s="208"/>
      <c r="V134" s="208"/>
      <c r="W134" s="208"/>
      <c r="X134" s="208"/>
      <c r="Y134" s="208"/>
      <c r="Z134" s="208"/>
      <c r="AA134" s="208"/>
      <c r="AB134" s="208"/>
      <c r="AC134" s="208"/>
      <c r="AD134" s="208"/>
      <c r="AE134" s="208"/>
      <c r="AF134" s="45"/>
      <c r="AK134"/>
      <c r="AL134"/>
      <c r="AM134"/>
      <c r="AN134"/>
      <c r="AO134"/>
      <c r="AP134"/>
      <c r="AQ134"/>
      <c r="AR134"/>
      <c r="AS134"/>
      <c r="AT134"/>
      <c r="AU134"/>
    </row>
    <row r="135" spans="1:47">
      <c r="A135" s="206"/>
      <c r="B135" s="206"/>
      <c r="C135" s="206"/>
      <c r="D135" s="206"/>
      <c r="E135" s="206"/>
      <c r="F135" s="206"/>
      <c r="G135" s="206"/>
      <c r="H135" s="206"/>
      <c r="I135" s="206"/>
      <c r="J135" s="206"/>
      <c r="K135" s="206"/>
      <c r="L135" s="206"/>
      <c r="M135" s="206"/>
      <c r="N135" s="208"/>
      <c r="O135" s="208"/>
      <c r="P135" s="208"/>
      <c r="Q135" s="208"/>
      <c r="R135" s="208"/>
      <c r="S135" s="208"/>
      <c r="T135" s="208"/>
      <c r="U135" s="208"/>
      <c r="V135" s="208"/>
      <c r="W135" s="208"/>
      <c r="X135" s="208"/>
      <c r="Y135" s="208"/>
      <c r="Z135" s="208"/>
      <c r="AA135" s="208"/>
      <c r="AB135" s="208"/>
      <c r="AC135" s="208"/>
      <c r="AD135" s="208"/>
      <c r="AE135" s="208"/>
      <c r="AF135" s="45"/>
      <c r="AK135"/>
      <c r="AL135"/>
      <c r="AM135"/>
      <c r="AN135"/>
      <c r="AO135"/>
      <c r="AP135"/>
      <c r="AQ135"/>
      <c r="AR135"/>
      <c r="AS135"/>
      <c r="AT135"/>
      <c r="AU135"/>
    </row>
    <row r="136" spans="1:47">
      <c r="A136" s="206"/>
      <c r="B136" s="206"/>
      <c r="C136" s="206"/>
      <c r="D136" s="206"/>
      <c r="E136" s="206"/>
      <c r="F136" s="206"/>
      <c r="G136" s="206"/>
      <c r="H136" s="206"/>
      <c r="I136" s="206"/>
      <c r="J136" s="206"/>
      <c r="K136" s="206"/>
      <c r="L136" s="206"/>
      <c r="M136" s="206"/>
      <c r="N136" s="208"/>
      <c r="O136" s="208"/>
      <c r="P136" s="208"/>
      <c r="Q136" s="208"/>
      <c r="R136" s="208"/>
      <c r="S136" s="208"/>
      <c r="T136" s="208"/>
      <c r="U136" s="208"/>
      <c r="V136" s="208"/>
      <c r="W136" s="208"/>
      <c r="X136" s="208"/>
      <c r="Y136" s="208"/>
      <c r="Z136" s="208"/>
      <c r="AA136" s="208"/>
      <c r="AB136" s="208"/>
      <c r="AC136" s="208"/>
      <c r="AD136" s="208"/>
      <c r="AE136" s="208"/>
      <c r="AF136" s="45"/>
      <c r="AK136"/>
      <c r="AL136"/>
      <c r="AM136"/>
      <c r="AN136"/>
      <c r="AO136"/>
      <c r="AP136"/>
      <c r="AQ136"/>
      <c r="AR136"/>
      <c r="AS136"/>
      <c r="AT136"/>
      <c r="AU136"/>
    </row>
    <row r="137" spans="1:47">
      <c r="A137" s="206"/>
      <c r="B137" s="206"/>
      <c r="C137" s="206"/>
      <c r="D137" s="206"/>
      <c r="E137" s="206"/>
      <c r="F137" s="206"/>
      <c r="G137" s="206"/>
      <c r="H137" s="206"/>
      <c r="I137" s="206"/>
      <c r="J137" s="206"/>
      <c r="K137" s="206"/>
      <c r="L137" s="206"/>
      <c r="M137" s="206"/>
      <c r="N137" s="208"/>
      <c r="O137" s="208"/>
      <c r="P137" s="208"/>
      <c r="Q137" s="208"/>
      <c r="R137" s="208"/>
      <c r="S137" s="208"/>
      <c r="T137" s="208"/>
      <c r="U137" s="208"/>
      <c r="V137" s="208"/>
      <c r="W137" s="208"/>
      <c r="X137" s="208"/>
      <c r="Y137" s="208"/>
      <c r="Z137" s="208"/>
      <c r="AA137" s="208"/>
      <c r="AB137" s="208"/>
      <c r="AC137" s="208"/>
      <c r="AD137" s="208"/>
      <c r="AE137" s="208"/>
      <c r="AF137" s="45"/>
      <c r="AK137"/>
      <c r="AL137"/>
      <c r="AM137"/>
      <c r="AN137"/>
      <c r="AO137"/>
      <c r="AP137"/>
      <c r="AQ137"/>
      <c r="AR137"/>
      <c r="AS137"/>
      <c r="AT137"/>
      <c r="AU137"/>
    </row>
    <row r="138" spans="1:47">
      <c r="A138" s="206"/>
      <c r="B138" s="206"/>
      <c r="C138" s="206"/>
      <c r="D138" s="206"/>
      <c r="E138" s="206"/>
      <c r="F138" s="206"/>
      <c r="G138" s="206"/>
      <c r="H138" s="206"/>
      <c r="I138" s="206"/>
      <c r="J138" s="206"/>
      <c r="K138" s="206"/>
      <c r="L138" s="206"/>
      <c r="M138" s="206"/>
      <c r="N138" s="208"/>
      <c r="O138" s="208"/>
      <c r="P138" s="208"/>
      <c r="Q138" s="208"/>
      <c r="R138" s="208"/>
      <c r="S138" s="208"/>
      <c r="T138" s="208"/>
      <c r="U138" s="208"/>
      <c r="V138" s="208"/>
      <c r="W138" s="208"/>
      <c r="X138" s="208"/>
      <c r="Y138" s="208"/>
      <c r="Z138" s="208"/>
      <c r="AA138" s="208"/>
      <c r="AB138" s="208"/>
      <c r="AC138" s="208"/>
      <c r="AD138" s="208"/>
      <c r="AE138" s="208"/>
      <c r="AF138" s="45"/>
      <c r="AK138"/>
      <c r="AL138"/>
      <c r="AM138"/>
      <c r="AN138"/>
      <c r="AO138"/>
      <c r="AP138"/>
      <c r="AQ138"/>
      <c r="AR138"/>
      <c r="AS138"/>
      <c r="AT138"/>
      <c r="AU138"/>
    </row>
    <row r="139" spans="1:47">
      <c r="A139" s="206"/>
      <c r="B139" s="206"/>
      <c r="C139" s="206"/>
      <c r="D139" s="206"/>
      <c r="E139" s="206"/>
      <c r="F139" s="206"/>
      <c r="G139" s="206"/>
      <c r="H139" s="206"/>
      <c r="I139" s="206"/>
      <c r="J139" s="206"/>
      <c r="K139" s="206"/>
      <c r="L139" s="206"/>
      <c r="M139" s="206"/>
      <c r="N139" s="208"/>
      <c r="O139" s="208"/>
      <c r="P139" s="208"/>
      <c r="Q139" s="208"/>
      <c r="R139" s="208"/>
      <c r="S139" s="208"/>
      <c r="T139" s="208"/>
      <c r="U139" s="208"/>
      <c r="V139" s="208"/>
      <c r="W139" s="208"/>
      <c r="X139" s="208"/>
      <c r="Y139" s="208"/>
      <c r="Z139" s="208"/>
      <c r="AA139" s="208"/>
      <c r="AB139" s="208"/>
      <c r="AC139" s="208"/>
      <c r="AD139" s="208"/>
      <c r="AE139" s="208"/>
      <c r="AF139" s="45"/>
      <c r="AK139"/>
      <c r="AL139"/>
      <c r="AM139"/>
      <c r="AN139"/>
      <c r="AO139"/>
      <c r="AP139"/>
      <c r="AQ139"/>
      <c r="AR139"/>
      <c r="AS139"/>
      <c r="AT139"/>
      <c r="AU139"/>
    </row>
    <row r="140" spans="1:47">
      <c r="A140" s="206"/>
      <c r="B140" s="206"/>
      <c r="C140" s="206"/>
      <c r="D140" s="206"/>
      <c r="E140" s="206"/>
      <c r="F140" s="206"/>
      <c r="G140" s="206"/>
      <c r="H140" s="206"/>
      <c r="I140" s="206"/>
      <c r="J140" s="206"/>
      <c r="K140" s="206"/>
      <c r="L140" s="206"/>
      <c r="M140" s="206"/>
      <c r="N140" s="208"/>
      <c r="O140" s="208"/>
      <c r="P140" s="208"/>
      <c r="Q140" s="208"/>
      <c r="R140" s="208"/>
      <c r="S140" s="208"/>
      <c r="T140" s="208"/>
      <c r="U140" s="208"/>
      <c r="V140" s="208"/>
      <c r="W140" s="208"/>
      <c r="X140" s="208"/>
      <c r="Y140" s="208"/>
      <c r="Z140" s="208"/>
      <c r="AA140" s="208"/>
      <c r="AB140" s="208"/>
      <c r="AC140" s="208"/>
      <c r="AD140" s="208"/>
      <c r="AE140" s="208"/>
      <c r="AF140" s="45"/>
      <c r="AK140"/>
      <c r="AL140"/>
      <c r="AM140"/>
      <c r="AN140"/>
      <c r="AO140"/>
      <c r="AP140"/>
      <c r="AQ140"/>
      <c r="AR140"/>
      <c r="AS140"/>
      <c r="AT140"/>
      <c r="AU140"/>
    </row>
    <row r="141" spans="1:47">
      <c r="A141" s="206"/>
      <c r="B141" s="206"/>
      <c r="C141" s="206"/>
      <c r="D141" s="206"/>
      <c r="E141" s="206"/>
      <c r="F141" s="206"/>
      <c r="G141" s="206"/>
      <c r="H141" s="206"/>
      <c r="I141" s="206"/>
      <c r="J141" s="206"/>
      <c r="K141" s="206"/>
      <c r="L141" s="206"/>
      <c r="M141" s="206"/>
      <c r="N141" s="208"/>
      <c r="O141" s="208"/>
      <c r="P141" s="208"/>
      <c r="Q141" s="208"/>
      <c r="R141" s="208"/>
      <c r="S141" s="208"/>
      <c r="T141" s="208"/>
      <c r="U141" s="208"/>
      <c r="V141" s="208"/>
      <c r="W141" s="208"/>
      <c r="X141" s="208"/>
      <c r="Y141" s="208"/>
      <c r="Z141" s="208"/>
      <c r="AA141" s="208"/>
      <c r="AB141" s="208"/>
      <c r="AC141" s="208"/>
      <c r="AD141" s="208"/>
      <c r="AE141" s="208"/>
      <c r="AF141" s="45"/>
      <c r="AK141"/>
      <c r="AL141"/>
      <c r="AM141"/>
      <c r="AN141"/>
      <c r="AO141"/>
      <c r="AP141"/>
      <c r="AQ141"/>
      <c r="AR141"/>
      <c r="AS141"/>
      <c r="AT141"/>
      <c r="AU141"/>
    </row>
    <row r="142" spans="1:47">
      <c r="A142" s="206"/>
      <c r="B142" s="206"/>
      <c r="C142" s="206"/>
      <c r="D142" s="206"/>
      <c r="E142" s="206"/>
      <c r="F142" s="206"/>
      <c r="G142" s="206"/>
      <c r="H142" s="206"/>
      <c r="I142" s="206"/>
      <c r="J142" s="206"/>
      <c r="K142" s="206"/>
      <c r="L142" s="206"/>
      <c r="M142" s="206"/>
      <c r="N142" s="208"/>
      <c r="O142" s="208"/>
      <c r="P142" s="208"/>
      <c r="Q142" s="208"/>
      <c r="R142" s="208"/>
      <c r="S142" s="208"/>
      <c r="T142" s="208"/>
      <c r="U142" s="208"/>
      <c r="V142" s="208"/>
      <c r="W142" s="208"/>
      <c r="X142" s="208"/>
      <c r="Y142" s="208"/>
      <c r="Z142" s="208"/>
      <c r="AA142" s="208"/>
      <c r="AB142" s="208"/>
      <c r="AC142" s="208"/>
      <c r="AD142" s="208"/>
      <c r="AE142" s="208"/>
      <c r="AF142" s="45"/>
      <c r="AK142"/>
      <c r="AL142"/>
      <c r="AM142"/>
      <c r="AN142"/>
      <c r="AO142"/>
      <c r="AP142"/>
      <c r="AQ142"/>
      <c r="AR142"/>
      <c r="AS142"/>
      <c r="AT142"/>
      <c r="AU142"/>
    </row>
    <row r="143" spans="1:47">
      <c r="A143" s="206"/>
      <c r="B143" s="206"/>
      <c r="C143" s="206"/>
      <c r="D143" s="206"/>
      <c r="E143" s="206"/>
      <c r="F143" s="206"/>
      <c r="G143" s="206"/>
      <c r="H143" s="206"/>
      <c r="I143" s="206"/>
      <c r="J143" s="206"/>
      <c r="K143" s="206"/>
      <c r="L143" s="206"/>
      <c r="M143" s="206"/>
      <c r="N143" s="208"/>
      <c r="O143" s="208"/>
      <c r="P143" s="208"/>
      <c r="Q143" s="208"/>
      <c r="R143" s="208"/>
      <c r="S143" s="208"/>
      <c r="T143" s="208"/>
      <c r="U143" s="208"/>
      <c r="V143" s="208"/>
      <c r="W143" s="208"/>
      <c r="X143" s="208"/>
      <c r="Y143" s="208"/>
      <c r="Z143" s="208"/>
      <c r="AA143" s="208"/>
      <c r="AB143" s="208"/>
      <c r="AC143" s="208"/>
      <c r="AD143" s="208"/>
      <c r="AE143" s="208"/>
      <c r="AF143" s="45"/>
      <c r="AK143"/>
      <c r="AL143"/>
      <c r="AM143"/>
      <c r="AN143"/>
      <c r="AO143"/>
      <c r="AP143"/>
      <c r="AQ143"/>
      <c r="AR143"/>
      <c r="AS143"/>
      <c r="AT143"/>
      <c r="AU143"/>
    </row>
    <row r="144" spans="1:47">
      <c r="A144" s="206"/>
      <c r="B144" s="206"/>
      <c r="C144" s="206"/>
      <c r="D144" s="206"/>
      <c r="E144" s="206"/>
      <c r="F144" s="206"/>
      <c r="G144" s="206"/>
      <c r="H144" s="206"/>
      <c r="I144" s="206"/>
      <c r="J144" s="206"/>
      <c r="K144" s="206"/>
      <c r="L144" s="206"/>
      <c r="M144" s="206"/>
      <c r="N144" s="208"/>
      <c r="O144" s="208"/>
      <c r="P144" s="208"/>
      <c r="Q144" s="208"/>
      <c r="R144" s="208"/>
      <c r="S144" s="208"/>
      <c r="T144" s="208"/>
      <c r="U144" s="208"/>
      <c r="V144" s="208"/>
      <c r="W144" s="208"/>
      <c r="X144" s="208"/>
      <c r="Y144" s="208"/>
      <c r="Z144" s="208"/>
      <c r="AA144" s="208"/>
      <c r="AB144" s="208"/>
      <c r="AC144" s="208"/>
      <c r="AD144" s="208"/>
      <c r="AE144" s="208"/>
      <c r="AF144" s="45"/>
      <c r="AK144"/>
      <c r="AL144"/>
      <c r="AM144"/>
      <c r="AN144"/>
      <c r="AO144"/>
      <c r="AP144"/>
      <c r="AQ144"/>
      <c r="AR144"/>
      <c r="AS144"/>
      <c r="AT144"/>
      <c r="AU144"/>
    </row>
    <row r="145" spans="1:47">
      <c r="A145" s="206"/>
      <c r="B145" s="206"/>
      <c r="C145" s="206"/>
      <c r="D145" s="206"/>
      <c r="E145" s="206"/>
      <c r="F145" s="206"/>
      <c r="G145" s="206"/>
      <c r="H145" s="206"/>
      <c r="I145" s="206"/>
      <c r="J145" s="206"/>
      <c r="K145" s="206"/>
      <c r="L145" s="206"/>
      <c r="M145" s="206"/>
      <c r="N145" s="208"/>
      <c r="O145" s="208"/>
      <c r="P145" s="208"/>
      <c r="Q145" s="208"/>
      <c r="R145" s="208"/>
      <c r="S145" s="208"/>
      <c r="T145" s="208"/>
      <c r="U145" s="208"/>
      <c r="V145" s="208"/>
      <c r="W145" s="208"/>
      <c r="X145" s="208"/>
      <c r="Y145" s="208"/>
      <c r="Z145" s="208"/>
      <c r="AA145" s="208"/>
      <c r="AB145" s="208"/>
      <c r="AC145" s="208"/>
      <c r="AD145" s="208"/>
      <c r="AE145" s="208"/>
      <c r="AF145" s="45"/>
      <c r="AK145"/>
      <c r="AL145"/>
      <c r="AM145"/>
      <c r="AN145"/>
      <c r="AO145"/>
      <c r="AP145"/>
      <c r="AQ145"/>
      <c r="AR145"/>
      <c r="AS145"/>
      <c r="AT145"/>
      <c r="AU145"/>
    </row>
    <row r="146" spans="1:47">
      <c r="A146" s="206"/>
      <c r="B146" s="206"/>
      <c r="C146" s="206"/>
      <c r="D146" s="206"/>
      <c r="E146" s="206"/>
      <c r="F146" s="206"/>
      <c r="G146" s="206"/>
      <c r="H146" s="206"/>
      <c r="I146" s="206"/>
      <c r="J146" s="206"/>
      <c r="K146" s="206"/>
      <c r="L146" s="206"/>
      <c r="M146" s="206"/>
      <c r="N146" s="208"/>
      <c r="O146" s="208"/>
      <c r="P146" s="208"/>
      <c r="Q146" s="208"/>
      <c r="R146" s="208"/>
      <c r="S146" s="208"/>
      <c r="T146" s="208"/>
      <c r="U146" s="208"/>
      <c r="V146" s="208"/>
      <c r="W146" s="208"/>
      <c r="X146" s="208"/>
      <c r="Y146" s="208"/>
      <c r="Z146" s="208"/>
      <c r="AA146" s="208"/>
      <c r="AB146" s="208"/>
      <c r="AC146" s="208"/>
      <c r="AD146" s="208"/>
      <c r="AE146" s="208"/>
      <c r="AF146" s="45"/>
      <c r="AK146"/>
      <c r="AL146"/>
      <c r="AM146"/>
      <c r="AN146"/>
      <c r="AO146"/>
      <c r="AP146"/>
      <c r="AQ146"/>
      <c r="AR146"/>
      <c r="AS146"/>
      <c r="AT146"/>
      <c r="AU146"/>
    </row>
    <row r="147" spans="1:47">
      <c r="A147" s="206"/>
      <c r="B147" s="206"/>
      <c r="C147" s="206"/>
      <c r="D147" s="206"/>
      <c r="E147" s="206"/>
      <c r="F147" s="206"/>
      <c r="G147" s="206"/>
      <c r="H147" s="206"/>
      <c r="I147" s="206"/>
      <c r="J147" s="206"/>
      <c r="K147" s="206"/>
      <c r="L147" s="206"/>
      <c r="M147" s="206"/>
      <c r="N147" s="208"/>
      <c r="O147" s="208"/>
      <c r="P147" s="208"/>
      <c r="Q147" s="208"/>
      <c r="R147" s="208"/>
      <c r="S147" s="208"/>
      <c r="T147" s="208"/>
      <c r="U147" s="208"/>
      <c r="V147" s="208"/>
      <c r="W147" s="208"/>
      <c r="X147" s="208"/>
      <c r="Y147" s="208"/>
      <c r="Z147" s="208"/>
      <c r="AA147" s="208"/>
      <c r="AB147" s="208"/>
      <c r="AC147" s="208"/>
      <c r="AD147" s="208"/>
      <c r="AE147" s="208"/>
      <c r="AF147" s="45"/>
      <c r="AK147"/>
      <c r="AL147"/>
      <c r="AM147"/>
      <c r="AN147"/>
      <c r="AO147"/>
      <c r="AP147"/>
      <c r="AQ147"/>
      <c r="AR147"/>
      <c r="AS147"/>
      <c r="AT147"/>
      <c r="AU147"/>
    </row>
    <row r="148" spans="1:47">
      <c r="A148" s="206"/>
      <c r="B148" s="206"/>
      <c r="C148" s="206"/>
      <c r="D148" s="206"/>
      <c r="E148" s="206"/>
      <c r="F148" s="206"/>
      <c r="G148" s="206"/>
      <c r="H148" s="206"/>
      <c r="I148" s="206"/>
      <c r="J148" s="206"/>
      <c r="K148" s="206"/>
      <c r="L148" s="206"/>
      <c r="M148" s="206"/>
      <c r="N148" s="208"/>
      <c r="O148" s="208"/>
      <c r="P148" s="208"/>
      <c r="Q148" s="208"/>
      <c r="R148" s="208"/>
      <c r="S148" s="208"/>
      <c r="T148" s="208"/>
      <c r="U148" s="208"/>
      <c r="V148" s="208"/>
      <c r="W148" s="208"/>
      <c r="X148" s="208"/>
      <c r="Y148" s="208"/>
      <c r="Z148" s="208"/>
      <c r="AA148" s="208"/>
      <c r="AB148" s="208"/>
      <c r="AC148" s="208"/>
      <c r="AD148" s="208"/>
      <c r="AE148" s="208"/>
      <c r="AF148" s="45"/>
      <c r="AK148"/>
      <c r="AL148"/>
      <c r="AM148"/>
      <c r="AN148"/>
      <c r="AO148"/>
      <c r="AP148"/>
      <c r="AQ148"/>
      <c r="AR148"/>
      <c r="AS148"/>
      <c r="AT148"/>
      <c r="AU148"/>
    </row>
    <row r="149" spans="1:47">
      <c r="A149" s="206"/>
      <c r="B149" s="206"/>
      <c r="C149" s="206"/>
      <c r="D149" s="206"/>
      <c r="E149" s="206"/>
      <c r="F149" s="206"/>
      <c r="G149" s="206"/>
      <c r="H149" s="206"/>
      <c r="I149" s="206"/>
      <c r="J149" s="206"/>
      <c r="K149" s="206"/>
      <c r="L149" s="206"/>
      <c r="M149" s="206"/>
      <c r="N149" s="208"/>
      <c r="O149" s="208"/>
      <c r="P149" s="208"/>
      <c r="Q149" s="208"/>
      <c r="R149" s="208"/>
      <c r="S149" s="208"/>
      <c r="T149" s="208"/>
      <c r="U149" s="208"/>
      <c r="V149" s="208"/>
      <c r="W149" s="208"/>
      <c r="X149" s="208"/>
      <c r="Y149" s="208"/>
      <c r="Z149" s="208"/>
      <c r="AA149" s="208"/>
      <c r="AB149" s="208"/>
      <c r="AC149" s="208"/>
      <c r="AD149" s="208"/>
      <c r="AE149" s="208"/>
      <c r="AF149" s="45"/>
      <c r="AK149"/>
      <c r="AL149"/>
      <c r="AM149"/>
      <c r="AN149"/>
      <c r="AO149"/>
      <c r="AP149"/>
      <c r="AQ149"/>
      <c r="AR149"/>
      <c r="AS149"/>
      <c r="AT149"/>
      <c r="AU149"/>
    </row>
    <row r="150" spans="1:47">
      <c r="A150" s="206"/>
      <c r="B150" s="206"/>
      <c r="C150" s="206"/>
      <c r="D150" s="206"/>
      <c r="E150" s="206"/>
      <c r="F150" s="206"/>
      <c r="G150" s="206"/>
      <c r="H150" s="206"/>
      <c r="I150" s="206"/>
      <c r="J150" s="206"/>
      <c r="K150" s="206"/>
      <c r="L150" s="206"/>
      <c r="M150" s="206"/>
      <c r="N150" s="208"/>
      <c r="O150" s="208"/>
      <c r="P150" s="208"/>
      <c r="Q150" s="208"/>
      <c r="R150" s="208"/>
      <c r="S150" s="208"/>
      <c r="T150" s="208"/>
      <c r="U150" s="208"/>
      <c r="V150" s="208"/>
      <c r="W150" s="208"/>
      <c r="X150" s="208"/>
      <c r="Y150" s="208"/>
      <c r="Z150" s="208"/>
      <c r="AA150" s="208"/>
      <c r="AB150" s="208"/>
      <c r="AC150" s="208"/>
      <c r="AD150" s="208"/>
      <c r="AE150" s="208"/>
      <c r="AF150" s="45"/>
      <c r="AK150"/>
      <c r="AL150"/>
      <c r="AM150"/>
      <c r="AN150"/>
      <c r="AO150"/>
      <c r="AP150"/>
      <c r="AQ150"/>
      <c r="AR150"/>
      <c r="AS150"/>
      <c r="AT150"/>
      <c r="AU150"/>
    </row>
    <row r="151" spans="1:47">
      <c r="A151" s="206"/>
      <c r="B151" s="206"/>
      <c r="C151" s="206"/>
      <c r="D151" s="206"/>
      <c r="E151" s="206"/>
      <c r="F151" s="206"/>
      <c r="G151" s="206"/>
      <c r="H151" s="206"/>
      <c r="I151" s="206"/>
      <c r="J151" s="206"/>
      <c r="K151" s="206"/>
      <c r="L151" s="206"/>
      <c r="M151" s="206"/>
      <c r="N151" s="208"/>
      <c r="O151" s="208"/>
      <c r="P151" s="208"/>
      <c r="Q151" s="208"/>
      <c r="R151" s="208"/>
      <c r="S151" s="208"/>
      <c r="T151" s="208"/>
      <c r="U151" s="208"/>
      <c r="V151" s="208"/>
      <c r="W151" s="208"/>
      <c r="X151" s="208"/>
      <c r="Y151" s="208"/>
      <c r="Z151" s="208"/>
      <c r="AA151" s="208"/>
      <c r="AB151" s="208"/>
      <c r="AC151" s="208"/>
      <c r="AD151" s="208"/>
      <c r="AE151" s="208"/>
      <c r="AF151" s="45"/>
      <c r="AK151"/>
      <c r="AL151"/>
      <c r="AM151"/>
      <c r="AN151"/>
      <c r="AO151"/>
      <c r="AP151"/>
      <c r="AQ151"/>
      <c r="AR151"/>
      <c r="AS151"/>
      <c r="AT151"/>
      <c r="AU151"/>
    </row>
    <row r="152" spans="1:47">
      <c r="A152" s="206"/>
      <c r="B152" s="206"/>
      <c r="C152" s="206"/>
      <c r="D152" s="206"/>
      <c r="E152" s="206"/>
      <c r="F152" s="206"/>
      <c r="G152" s="206"/>
      <c r="H152" s="206"/>
      <c r="I152" s="206"/>
      <c r="J152" s="206"/>
      <c r="K152" s="206"/>
      <c r="L152" s="206"/>
      <c r="M152" s="206"/>
      <c r="N152" s="208"/>
      <c r="O152" s="208"/>
      <c r="P152" s="208"/>
      <c r="Q152" s="208"/>
      <c r="R152" s="208"/>
      <c r="S152" s="208"/>
      <c r="T152" s="208"/>
      <c r="U152" s="208"/>
      <c r="V152" s="208"/>
      <c r="W152" s="208"/>
      <c r="X152" s="208"/>
      <c r="Y152" s="208"/>
      <c r="Z152" s="208"/>
      <c r="AA152" s="208"/>
      <c r="AB152" s="208"/>
      <c r="AC152" s="208"/>
      <c r="AD152" s="208"/>
      <c r="AE152" s="208"/>
      <c r="AF152" s="45"/>
      <c r="AK152"/>
      <c r="AL152"/>
      <c r="AM152"/>
      <c r="AN152"/>
      <c r="AO152"/>
      <c r="AP152"/>
      <c r="AQ152"/>
      <c r="AR152"/>
      <c r="AS152"/>
      <c r="AT152"/>
      <c r="AU152"/>
    </row>
    <row r="153" spans="1:47">
      <c r="A153" s="206"/>
      <c r="B153" s="206"/>
      <c r="C153" s="206"/>
      <c r="D153" s="206"/>
      <c r="E153" s="206"/>
      <c r="F153" s="206"/>
      <c r="G153" s="206"/>
      <c r="H153" s="206"/>
      <c r="I153" s="206"/>
      <c r="J153" s="206"/>
      <c r="K153" s="206"/>
      <c r="L153" s="206"/>
      <c r="M153" s="206"/>
      <c r="N153" s="208"/>
      <c r="O153" s="208"/>
      <c r="P153" s="208"/>
      <c r="Q153" s="208"/>
      <c r="R153" s="208"/>
      <c r="S153" s="208"/>
      <c r="T153" s="208"/>
      <c r="U153" s="208"/>
      <c r="V153" s="208"/>
      <c r="W153" s="208"/>
      <c r="X153" s="208"/>
      <c r="Y153" s="208"/>
      <c r="Z153" s="208"/>
      <c r="AA153" s="208"/>
      <c r="AB153" s="208"/>
      <c r="AC153" s="208"/>
      <c r="AD153" s="208"/>
      <c r="AE153" s="208"/>
      <c r="AF153" s="45"/>
      <c r="AK153"/>
      <c r="AL153"/>
      <c r="AM153"/>
      <c r="AN153"/>
      <c r="AO153"/>
      <c r="AP153"/>
      <c r="AQ153"/>
      <c r="AR153"/>
      <c r="AS153"/>
      <c r="AT153"/>
      <c r="AU153"/>
    </row>
    <row r="154" spans="1:47">
      <c r="A154" s="206"/>
      <c r="B154" s="206"/>
      <c r="C154" s="206"/>
      <c r="D154" s="206"/>
      <c r="E154" s="206"/>
      <c r="F154" s="206"/>
      <c r="G154" s="206"/>
      <c r="H154" s="206"/>
      <c r="I154" s="206"/>
      <c r="J154" s="206"/>
      <c r="K154" s="206"/>
      <c r="L154" s="206"/>
      <c r="M154" s="206"/>
      <c r="N154" s="208"/>
      <c r="O154" s="208"/>
      <c r="P154" s="208"/>
      <c r="Q154" s="208"/>
      <c r="R154" s="208"/>
      <c r="S154" s="208"/>
      <c r="T154" s="208"/>
      <c r="U154" s="208"/>
      <c r="V154" s="208"/>
      <c r="W154" s="208"/>
      <c r="X154" s="208"/>
      <c r="Y154" s="208"/>
      <c r="Z154" s="208"/>
      <c r="AA154" s="208"/>
      <c r="AB154" s="208"/>
      <c r="AC154" s="208"/>
      <c r="AD154" s="208"/>
      <c r="AE154" s="208"/>
      <c r="AF154" s="45"/>
      <c r="AK154"/>
      <c r="AL154"/>
      <c r="AM154"/>
      <c r="AN154"/>
      <c r="AO154"/>
      <c r="AP154"/>
      <c r="AQ154"/>
      <c r="AR154"/>
      <c r="AS154"/>
      <c r="AT154"/>
      <c r="AU154"/>
    </row>
    <row r="155" spans="1:47">
      <c r="A155" s="206"/>
      <c r="B155" s="206"/>
      <c r="C155" s="206"/>
      <c r="D155" s="206"/>
      <c r="E155" s="206"/>
      <c r="F155" s="206"/>
      <c r="G155" s="206"/>
      <c r="H155" s="206"/>
      <c r="I155" s="206"/>
      <c r="J155" s="206"/>
      <c r="K155" s="206"/>
      <c r="L155" s="206"/>
      <c r="M155" s="206"/>
      <c r="N155" s="208"/>
      <c r="O155" s="208"/>
      <c r="P155" s="208"/>
      <c r="Q155" s="208"/>
      <c r="R155" s="208"/>
      <c r="S155" s="208"/>
      <c r="T155" s="208"/>
      <c r="U155" s="208"/>
      <c r="V155" s="208"/>
      <c r="W155" s="208"/>
      <c r="X155" s="208"/>
      <c r="Y155" s="208"/>
      <c r="Z155" s="208"/>
      <c r="AA155" s="208"/>
      <c r="AB155" s="208"/>
      <c r="AC155" s="208"/>
      <c r="AD155" s="208"/>
      <c r="AE155" s="208"/>
      <c r="AF155" s="45"/>
      <c r="AK155"/>
      <c r="AL155"/>
      <c r="AM155"/>
      <c r="AN155"/>
      <c r="AO155"/>
      <c r="AP155"/>
      <c r="AQ155"/>
      <c r="AR155"/>
      <c r="AS155"/>
      <c r="AT155"/>
      <c r="AU155"/>
    </row>
    <row r="156" spans="1:47">
      <c r="A156" s="206"/>
      <c r="B156" s="206"/>
      <c r="C156" s="206"/>
      <c r="D156" s="206"/>
      <c r="E156" s="206"/>
      <c r="F156" s="206"/>
      <c r="G156" s="206"/>
      <c r="H156" s="206"/>
      <c r="I156" s="206"/>
      <c r="J156" s="206"/>
      <c r="K156" s="206"/>
      <c r="L156" s="206"/>
      <c r="M156" s="206"/>
      <c r="N156" s="208"/>
      <c r="O156" s="208"/>
      <c r="P156" s="208"/>
      <c r="Q156" s="208"/>
      <c r="R156" s="208"/>
      <c r="S156" s="208"/>
      <c r="T156" s="208"/>
      <c r="U156" s="208"/>
      <c r="V156" s="208"/>
      <c r="W156" s="208"/>
      <c r="X156" s="208"/>
      <c r="Y156" s="208"/>
      <c r="Z156" s="208"/>
      <c r="AA156" s="208"/>
      <c r="AB156" s="208"/>
      <c r="AC156" s="208"/>
      <c r="AD156" s="208"/>
      <c r="AE156" s="208"/>
      <c r="AF156" s="45"/>
      <c r="AK156"/>
      <c r="AL156"/>
      <c r="AM156"/>
      <c r="AN156"/>
      <c r="AO156"/>
      <c r="AP156"/>
      <c r="AQ156"/>
      <c r="AR156"/>
      <c r="AS156"/>
      <c r="AT156"/>
      <c r="AU156"/>
    </row>
    <row r="157" spans="1:47">
      <c r="A157" s="206"/>
      <c r="B157" s="206"/>
      <c r="C157" s="206"/>
      <c r="D157" s="206"/>
      <c r="E157" s="206"/>
      <c r="F157" s="206"/>
      <c r="G157" s="206"/>
      <c r="H157" s="206"/>
      <c r="I157" s="206"/>
      <c r="J157" s="206"/>
      <c r="K157" s="206"/>
      <c r="L157" s="206"/>
      <c r="M157" s="206"/>
      <c r="N157" s="208"/>
      <c r="O157" s="208"/>
      <c r="P157" s="208"/>
      <c r="Q157" s="208"/>
      <c r="R157" s="208"/>
      <c r="S157" s="208"/>
      <c r="T157" s="208"/>
      <c r="U157" s="208"/>
      <c r="V157" s="208"/>
      <c r="W157" s="208"/>
      <c r="X157" s="208"/>
      <c r="Y157" s="208"/>
      <c r="Z157" s="208"/>
      <c r="AA157" s="208"/>
      <c r="AB157" s="208"/>
      <c r="AC157" s="208"/>
      <c r="AD157" s="208"/>
      <c r="AE157" s="208"/>
      <c r="AF157" s="45"/>
      <c r="AK157"/>
      <c r="AL157"/>
      <c r="AM157"/>
      <c r="AN157"/>
      <c r="AO157"/>
      <c r="AP157"/>
      <c r="AQ157"/>
      <c r="AR157"/>
      <c r="AS157"/>
      <c r="AT157"/>
      <c r="AU157"/>
    </row>
    <row r="158" spans="1:47">
      <c r="A158" s="206"/>
      <c r="B158" s="206"/>
      <c r="C158" s="206"/>
      <c r="D158" s="206"/>
      <c r="E158" s="206"/>
      <c r="F158" s="206"/>
      <c r="G158" s="206"/>
      <c r="H158" s="206"/>
      <c r="I158" s="206"/>
      <c r="J158" s="206"/>
      <c r="K158" s="206"/>
      <c r="L158" s="206"/>
      <c r="M158" s="206"/>
      <c r="N158" s="208"/>
      <c r="O158" s="208"/>
      <c r="P158" s="208"/>
      <c r="Q158" s="208"/>
      <c r="R158" s="208"/>
      <c r="S158" s="208"/>
      <c r="T158" s="208"/>
      <c r="U158" s="208"/>
      <c r="V158" s="208"/>
      <c r="W158" s="208"/>
      <c r="X158" s="208"/>
      <c r="Y158" s="208"/>
      <c r="Z158" s="208"/>
      <c r="AA158" s="208"/>
      <c r="AB158" s="208"/>
      <c r="AC158" s="208"/>
      <c r="AD158" s="208"/>
      <c r="AE158" s="208"/>
      <c r="AF158" s="45"/>
      <c r="AK158"/>
      <c r="AL158"/>
      <c r="AM158"/>
      <c r="AN158"/>
      <c r="AO158"/>
      <c r="AP158"/>
      <c r="AQ158"/>
      <c r="AR158"/>
      <c r="AS158"/>
      <c r="AT158"/>
      <c r="AU158"/>
    </row>
    <row r="159" spans="1:47">
      <c r="A159" s="206"/>
      <c r="B159" s="206"/>
      <c r="C159" s="206"/>
      <c r="D159" s="206"/>
      <c r="E159" s="206"/>
      <c r="F159" s="206"/>
      <c r="G159" s="206"/>
      <c r="H159" s="206"/>
      <c r="I159" s="206"/>
      <c r="J159" s="206"/>
      <c r="K159" s="206"/>
      <c r="L159" s="206"/>
      <c r="M159" s="206"/>
      <c r="N159" s="208"/>
      <c r="O159" s="208"/>
      <c r="P159" s="208"/>
      <c r="Q159" s="208"/>
      <c r="R159" s="208"/>
      <c r="S159" s="208"/>
      <c r="T159" s="208"/>
      <c r="U159" s="208"/>
      <c r="V159" s="208"/>
      <c r="W159" s="208"/>
      <c r="X159" s="208"/>
      <c r="Y159" s="208"/>
      <c r="Z159" s="208"/>
      <c r="AA159" s="208"/>
      <c r="AB159" s="208"/>
      <c r="AC159" s="208"/>
      <c r="AD159" s="208"/>
      <c r="AE159" s="208"/>
      <c r="AF159" s="45"/>
      <c r="AK159"/>
      <c r="AL159"/>
      <c r="AM159"/>
      <c r="AN159"/>
      <c r="AO159"/>
      <c r="AP159"/>
      <c r="AQ159"/>
      <c r="AR159"/>
      <c r="AS159"/>
      <c r="AT159"/>
      <c r="AU159"/>
    </row>
    <row r="160" spans="1:47">
      <c r="A160" s="206"/>
      <c r="B160" s="206"/>
      <c r="C160" s="206"/>
      <c r="D160" s="206"/>
      <c r="E160" s="206"/>
      <c r="F160" s="206"/>
      <c r="G160" s="206"/>
      <c r="H160" s="206"/>
      <c r="I160" s="206"/>
      <c r="J160" s="206"/>
      <c r="K160" s="206"/>
      <c r="L160" s="206"/>
      <c r="M160" s="206"/>
      <c r="N160" s="208"/>
      <c r="O160" s="208"/>
      <c r="P160" s="208"/>
      <c r="Q160" s="208"/>
      <c r="R160" s="208"/>
      <c r="S160" s="208"/>
      <c r="T160" s="208"/>
      <c r="U160" s="208"/>
      <c r="V160" s="208"/>
      <c r="W160" s="208"/>
      <c r="X160" s="208"/>
      <c r="Y160" s="208"/>
      <c r="Z160" s="208"/>
      <c r="AA160" s="208"/>
      <c r="AB160" s="208"/>
      <c r="AC160" s="208"/>
      <c r="AD160" s="208"/>
      <c r="AE160" s="208"/>
      <c r="AF160" s="45"/>
      <c r="AK160"/>
      <c r="AL160"/>
      <c r="AM160"/>
      <c r="AN160"/>
      <c r="AO160"/>
      <c r="AP160"/>
      <c r="AQ160"/>
      <c r="AR160"/>
      <c r="AS160"/>
      <c r="AT160"/>
      <c r="AU160"/>
    </row>
    <row r="161" spans="1:47">
      <c r="A161" s="206"/>
      <c r="B161" s="206"/>
      <c r="C161" s="206"/>
      <c r="D161" s="206"/>
      <c r="E161" s="206"/>
      <c r="F161" s="206"/>
      <c r="G161" s="206"/>
      <c r="H161" s="206"/>
      <c r="I161" s="206"/>
      <c r="J161" s="206"/>
      <c r="K161" s="206"/>
      <c r="L161" s="206"/>
      <c r="M161" s="206"/>
      <c r="N161" s="208"/>
      <c r="O161" s="208"/>
      <c r="P161" s="208"/>
      <c r="Q161" s="208"/>
      <c r="R161" s="208"/>
      <c r="S161" s="208"/>
      <c r="T161" s="208"/>
      <c r="U161" s="208"/>
      <c r="V161" s="208"/>
      <c r="W161" s="208"/>
      <c r="X161" s="208"/>
      <c r="Y161" s="208"/>
      <c r="Z161" s="208"/>
      <c r="AA161" s="208"/>
      <c r="AB161" s="208"/>
      <c r="AC161" s="208"/>
      <c r="AD161" s="208"/>
      <c r="AE161" s="208"/>
      <c r="AF161" s="45"/>
      <c r="AK161"/>
      <c r="AL161"/>
      <c r="AM161"/>
      <c r="AN161"/>
      <c r="AO161"/>
      <c r="AP161"/>
      <c r="AQ161"/>
      <c r="AR161"/>
      <c r="AS161"/>
      <c r="AT161"/>
      <c r="AU161"/>
    </row>
    <row r="162" spans="1:47">
      <c r="A162" s="206"/>
      <c r="B162" s="206"/>
      <c r="C162" s="206"/>
      <c r="D162" s="206"/>
      <c r="E162" s="206"/>
      <c r="F162" s="206"/>
      <c r="G162" s="206"/>
      <c r="H162" s="206"/>
      <c r="I162" s="206"/>
      <c r="J162" s="206"/>
      <c r="K162" s="206"/>
      <c r="L162" s="206"/>
      <c r="M162" s="206"/>
      <c r="N162" s="208"/>
      <c r="O162" s="208"/>
      <c r="P162" s="208"/>
      <c r="Q162" s="208"/>
      <c r="R162" s="208"/>
      <c r="S162" s="208"/>
      <c r="T162" s="208"/>
      <c r="U162" s="208"/>
      <c r="V162" s="208"/>
      <c r="W162" s="208"/>
      <c r="X162" s="208"/>
      <c r="Y162" s="208"/>
      <c r="Z162" s="208"/>
      <c r="AA162" s="208"/>
      <c r="AB162" s="208"/>
      <c r="AC162" s="208"/>
      <c r="AD162" s="208"/>
      <c r="AE162" s="208"/>
      <c r="AF162" s="45"/>
      <c r="AK162"/>
      <c r="AL162"/>
      <c r="AM162"/>
      <c r="AN162"/>
      <c r="AO162"/>
      <c r="AP162"/>
      <c r="AQ162"/>
      <c r="AR162"/>
      <c r="AS162"/>
      <c r="AT162"/>
      <c r="AU162"/>
    </row>
    <row r="163" spans="1:47">
      <c r="A163" s="206"/>
      <c r="B163" s="206"/>
      <c r="C163" s="206"/>
      <c r="D163" s="206"/>
      <c r="E163" s="206"/>
      <c r="F163" s="206"/>
      <c r="G163" s="206"/>
      <c r="H163" s="206"/>
      <c r="I163" s="206"/>
      <c r="J163" s="206"/>
      <c r="K163" s="206"/>
      <c r="L163" s="206"/>
      <c r="M163" s="206"/>
      <c r="N163" s="208"/>
      <c r="O163" s="208"/>
      <c r="P163" s="208"/>
      <c r="Q163" s="208"/>
      <c r="R163" s="208"/>
      <c r="S163" s="208"/>
      <c r="T163" s="208"/>
      <c r="U163" s="208"/>
      <c r="V163" s="208"/>
      <c r="W163" s="208"/>
      <c r="X163" s="208"/>
      <c r="Y163" s="208"/>
      <c r="Z163" s="208"/>
      <c r="AA163" s="208"/>
      <c r="AB163" s="208"/>
      <c r="AC163" s="208"/>
      <c r="AD163" s="208"/>
      <c r="AE163" s="208"/>
      <c r="AF163" s="45"/>
      <c r="AK163"/>
      <c r="AL163"/>
      <c r="AM163"/>
      <c r="AN163"/>
      <c r="AO163"/>
      <c r="AP163"/>
      <c r="AQ163"/>
      <c r="AR163"/>
      <c r="AS163"/>
      <c r="AT163"/>
      <c r="AU163"/>
    </row>
    <row r="164" spans="1:47">
      <c r="A164" s="206"/>
      <c r="B164" s="206"/>
      <c r="C164" s="206"/>
      <c r="D164" s="206"/>
      <c r="E164" s="206"/>
      <c r="F164" s="206"/>
      <c r="G164" s="206"/>
      <c r="H164" s="206"/>
      <c r="I164" s="206"/>
      <c r="J164" s="206"/>
      <c r="K164" s="206"/>
      <c r="L164" s="206"/>
      <c r="M164" s="206"/>
      <c r="N164" s="208"/>
      <c r="O164" s="208"/>
      <c r="P164" s="208"/>
      <c r="Q164" s="208"/>
      <c r="R164" s="208"/>
      <c r="S164" s="208"/>
      <c r="T164" s="208"/>
      <c r="U164" s="208"/>
      <c r="V164" s="208"/>
      <c r="W164" s="208"/>
      <c r="X164" s="208"/>
      <c r="Y164" s="208"/>
      <c r="Z164" s="208"/>
      <c r="AA164" s="208"/>
      <c r="AB164" s="208"/>
      <c r="AC164" s="208"/>
      <c r="AD164" s="208"/>
      <c r="AE164" s="208"/>
      <c r="AF164" s="45"/>
      <c r="AK164"/>
      <c r="AL164"/>
      <c r="AM164"/>
      <c r="AN164"/>
      <c r="AO164"/>
      <c r="AP164"/>
      <c r="AQ164"/>
      <c r="AR164"/>
      <c r="AS164"/>
      <c r="AT164"/>
      <c r="AU164"/>
    </row>
    <row r="165" spans="1:47">
      <c r="A165" s="206"/>
      <c r="B165" s="206"/>
      <c r="C165" s="206"/>
      <c r="D165" s="206"/>
      <c r="E165" s="206"/>
      <c r="F165" s="206"/>
      <c r="G165" s="206"/>
      <c r="H165" s="206"/>
      <c r="I165" s="206"/>
      <c r="J165" s="206"/>
      <c r="K165" s="206"/>
      <c r="L165" s="206"/>
      <c r="M165" s="206"/>
      <c r="N165" s="208"/>
      <c r="O165" s="208"/>
      <c r="P165" s="208"/>
      <c r="Q165" s="208"/>
      <c r="R165" s="208"/>
      <c r="S165" s="208"/>
      <c r="T165" s="208"/>
      <c r="U165" s="208"/>
      <c r="V165" s="208"/>
      <c r="W165" s="208"/>
      <c r="X165" s="208"/>
      <c r="Y165" s="208"/>
      <c r="Z165" s="208"/>
      <c r="AA165" s="208"/>
      <c r="AB165" s="208"/>
      <c r="AC165" s="208"/>
      <c r="AD165" s="208"/>
      <c r="AE165" s="208"/>
      <c r="AF165" s="45"/>
      <c r="AK165"/>
      <c r="AL165"/>
      <c r="AM165"/>
      <c r="AN165"/>
      <c r="AO165"/>
      <c r="AP165"/>
      <c r="AQ165"/>
      <c r="AR165"/>
      <c r="AS165"/>
      <c r="AT165"/>
      <c r="AU165"/>
    </row>
    <row r="166" spans="1:47">
      <c r="A166" s="206"/>
      <c r="B166" s="206"/>
      <c r="C166" s="206"/>
      <c r="D166" s="206"/>
      <c r="E166" s="206"/>
      <c r="F166" s="206"/>
      <c r="G166" s="206"/>
      <c r="H166" s="206"/>
      <c r="I166" s="206"/>
      <c r="J166" s="206"/>
      <c r="K166" s="206"/>
      <c r="L166" s="206"/>
      <c r="M166" s="206"/>
      <c r="N166" s="208"/>
      <c r="O166" s="208"/>
      <c r="P166" s="208"/>
      <c r="Q166" s="208"/>
      <c r="R166" s="208"/>
      <c r="S166" s="208"/>
      <c r="T166" s="208"/>
      <c r="U166" s="208"/>
      <c r="V166" s="208"/>
      <c r="W166" s="208"/>
      <c r="X166" s="208"/>
      <c r="Y166" s="208"/>
      <c r="Z166" s="208"/>
      <c r="AA166" s="208"/>
      <c r="AB166" s="208"/>
      <c r="AC166" s="208"/>
      <c r="AD166" s="208"/>
      <c r="AE166" s="208"/>
      <c r="AF166" s="45"/>
      <c r="AK166"/>
      <c r="AL166"/>
      <c r="AM166"/>
      <c r="AN166"/>
      <c r="AO166"/>
      <c r="AP166"/>
      <c r="AQ166"/>
      <c r="AR166"/>
      <c r="AS166"/>
      <c r="AT166"/>
      <c r="AU166"/>
    </row>
    <row r="167" spans="1:47">
      <c r="A167" s="206"/>
      <c r="B167" s="206"/>
      <c r="C167" s="206"/>
      <c r="D167" s="206"/>
      <c r="E167" s="206"/>
      <c r="F167" s="206"/>
      <c r="G167" s="206"/>
      <c r="H167" s="206"/>
      <c r="I167" s="206"/>
      <c r="J167" s="206"/>
      <c r="K167" s="206"/>
      <c r="L167" s="206"/>
      <c r="M167" s="206"/>
      <c r="N167" s="208"/>
      <c r="O167" s="208"/>
      <c r="P167" s="208"/>
      <c r="Q167" s="208"/>
      <c r="R167" s="208"/>
      <c r="S167" s="208"/>
      <c r="T167" s="208"/>
      <c r="U167" s="208"/>
      <c r="V167" s="208"/>
      <c r="W167" s="208"/>
      <c r="X167" s="208"/>
      <c r="Y167" s="208"/>
      <c r="Z167" s="208"/>
      <c r="AA167" s="208"/>
      <c r="AB167" s="208"/>
      <c r="AC167" s="208"/>
      <c r="AD167" s="208"/>
      <c r="AE167" s="208"/>
      <c r="AF167" s="45"/>
      <c r="AK167"/>
      <c r="AL167"/>
      <c r="AM167"/>
      <c r="AN167"/>
      <c r="AO167"/>
      <c r="AP167"/>
      <c r="AQ167"/>
      <c r="AR167"/>
      <c r="AS167"/>
      <c r="AT167"/>
      <c r="AU167"/>
    </row>
    <row r="168" spans="1:47">
      <c r="A168" s="206"/>
      <c r="B168" s="206"/>
      <c r="C168" s="206"/>
      <c r="D168" s="206"/>
      <c r="E168" s="206"/>
      <c r="F168" s="206"/>
      <c r="G168" s="206"/>
      <c r="H168" s="206"/>
      <c r="I168" s="206"/>
      <c r="J168" s="206"/>
      <c r="K168" s="206"/>
      <c r="L168" s="206"/>
      <c r="M168" s="206"/>
      <c r="N168" s="208"/>
      <c r="O168" s="208"/>
      <c r="P168" s="208"/>
      <c r="Q168" s="208"/>
      <c r="R168" s="208"/>
      <c r="S168" s="208"/>
      <c r="T168" s="208"/>
      <c r="U168" s="208"/>
      <c r="V168" s="208"/>
      <c r="W168" s="208"/>
      <c r="X168" s="208"/>
      <c r="Y168" s="208"/>
      <c r="Z168" s="208"/>
      <c r="AA168" s="208"/>
      <c r="AB168" s="208"/>
      <c r="AC168" s="208"/>
      <c r="AD168" s="208"/>
      <c r="AE168" s="208"/>
      <c r="AF168" s="45"/>
      <c r="AK168"/>
      <c r="AL168"/>
      <c r="AM168"/>
      <c r="AN168"/>
      <c r="AO168"/>
      <c r="AP168"/>
      <c r="AQ168"/>
      <c r="AR168"/>
      <c r="AS168"/>
      <c r="AT168"/>
      <c r="AU168"/>
    </row>
    <row r="169" spans="1:47">
      <c r="A169" s="206"/>
      <c r="B169" s="206"/>
      <c r="C169" s="206"/>
      <c r="D169" s="206"/>
      <c r="E169" s="206"/>
      <c r="F169" s="206"/>
      <c r="G169" s="206"/>
      <c r="H169" s="206"/>
      <c r="I169" s="206"/>
      <c r="J169" s="206"/>
      <c r="K169" s="206"/>
      <c r="L169" s="206"/>
      <c r="M169" s="206"/>
      <c r="N169" s="208"/>
      <c r="O169" s="208"/>
      <c r="P169" s="208"/>
      <c r="Q169" s="208"/>
      <c r="R169" s="208"/>
      <c r="S169" s="208"/>
      <c r="T169" s="208"/>
      <c r="U169" s="208"/>
      <c r="V169" s="208"/>
      <c r="W169" s="208"/>
      <c r="X169" s="208"/>
      <c r="Y169" s="208"/>
      <c r="Z169" s="208"/>
      <c r="AA169" s="208"/>
      <c r="AB169" s="208"/>
      <c r="AC169" s="208"/>
      <c r="AD169" s="208"/>
      <c r="AE169" s="208"/>
      <c r="AF169" s="45"/>
      <c r="AK169"/>
      <c r="AL169"/>
      <c r="AM169"/>
      <c r="AN169"/>
      <c r="AO169"/>
      <c r="AP169"/>
      <c r="AQ169"/>
      <c r="AR169"/>
      <c r="AS169"/>
      <c r="AT169"/>
      <c r="AU169"/>
    </row>
    <row r="170" spans="1:47">
      <c r="A170" s="206"/>
      <c r="B170" s="206"/>
      <c r="C170" s="206"/>
      <c r="D170" s="206"/>
      <c r="E170" s="206"/>
      <c r="F170" s="206"/>
      <c r="G170" s="206"/>
      <c r="H170" s="206"/>
      <c r="I170" s="206"/>
      <c r="J170" s="206"/>
      <c r="K170" s="206"/>
      <c r="L170" s="206"/>
      <c r="M170" s="206"/>
      <c r="N170" s="208"/>
      <c r="O170" s="208"/>
      <c r="P170" s="208"/>
      <c r="Q170" s="208"/>
      <c r="R170" s="208"/>
      <c r="S170" s="208"/>
      <c r="T170" s="208"/>
      <c r="U170" s="208"/>
      <c r="V170" s="208"/>
      <c r="W170" s="208"/>
      <c r="X170" s="208"/>
      <c r="Y170" s="208"/>
      <c r="Z170" s="208"/>
      <c r="AA170" s="208"/>
      <c r="AB170" s="208"/>
      <c r="AC170" s="208"/>
      <c r="AD170" s="208"/>
      <c r="AE170" s="208"/>
      <c r="AF170" s="45"/>
      <c r="AK170"/>
      <c r="AL170"/>
      <c r="AM170"/>
      <c r="AN170"/>
      <c r="AO170"/>
      <c r="AP170"/>
      <c r="AQ170"/>
      <c r="AR170"/>
      <c r="AS170"/>
      <c r="AT170"/>
      <c r="AU170"/>
    </row>
    <row r="171" spans="1:47">
      <c r="A171" s="206"/>
      <c r="B171" s="206"/>
      <c r="C171" s="206"/>
      <c r="D171" s="206"/>
      <c r="E171" s="206"/>
      <c r="F171" s="206"/>
      <c r="G171" s="206"/>
      <c r="H171" s="206"/>
      <c r="I171" s="206"/>
      <c r="J171" s="206"/>
      <c r="K171" s="206"/>
      <c r="L171" s="206"/>
      <c r="M171" s="206"/>
      <c r="N171" s="208"/>
      <c r="O171" s="208"/>
      <c r="P171" s="208"/>
      <c r="Q171" s="208"/>
      <c r="R171" s="208"/>
      <c r="S171" s="208"/>
      <c r="T171" s="208"/>
      <c r="U171" s="208"/>
      <c r="V171" s="208"/>
      <c r="W171" s="208"/>
      <c r="X171" s="208"/>
      <c r="Y171" s="208"/>
      <c r="Z171" s="208"/>
      <c r="AA171" s="208"/>
      <c r="AB171" s="208"/>
      <c r="AC171" s="208"/>
      <c r="AD171" s="208"/>
      <c r="AE171" s="208"/>
      <c r="AF171" s="45"/>
      <c r="AK171"/>
      <c r="AL171"/>
      <c r="AM171"/>
      <c r="AN171"/>
      <c r="AO171"/>
      <c r="AP171"/>
      <c r="AQ171"/>
      <c r="AR171"/>
      <c r="AS171"/>
      <c r="AT171"/>
      <c r="AU171"/>
    </row>
    <row r="172" spans="1:47">
      <c r="A172" s="206"/>
      <c r="B172" s="206"/>
      <c r="C172" s="206"/>
      <c r="D172" s="206"/>
      <c r="E172" s="206"/>
      <c r="F172" s="206"/>
      <c r="G172" s="206"/>
      <c r="H172" s="206"/>
      <c r="I172" s="206"/>
      <c r="J172" s="206"/>
      <c r="K172" s="206"/>
      <c r="L172" s="206"/>
      <c r="M172" s="206"/>
      <c r="N172" s="208"/>
      <c r="O172" s="208"/>
      <c r="P172" s="208"/>
      <c r="Q172" s="208"/>
      <c r="R172" s="208"/>
      <c r="S172" s="208"/>
      <c r="T172" s="208"/>
      <c r="U172" s="208"/>
      <c r="V172" s="208"/>
      <c r="W172" s="208"/>
      <c r="X172" s="208"/>
      <c r="Y172" s="208"/>
      <c r="Z172" s="208"/>
      <c r="AA172" s="208"/>
      <c r="AB172" s="208"/>
      <c r="AC172" s="208"/>
      <c r="AD172" s="208"/>
      <c r="AE172" s="208"/>
      <c r="AF172" s="45"/>
      <c r="AK172"/>
      <c r="AL172"/>
      <c r="AM172"/>
      <c r="AN172"/>
      <c r="AO172"/>
      <c r="AP172"/>
      <c r="AQ172"/>
      <c r="AR172"/>
      <c r="AS172"/>
      <c r="AT172"/>
      <c r="AU172"/>
    </row>
    <row r="173" spans="1:47">
      <c r="A173" s="206"/>
      <c r="B173" s="206"/>
      <c r="C173" s="206"/>
      <c r="D173" s="206"/>
      <c r="E173" s="206"/>
      <c r="F173" s="206"/>
      <c r="G173" s="206"/>
      <c r="H173" s="206"/>
      <c r="I173" s="206"/>
      <c r="J173" s="206"/>
      <c r="K173" s="206"/>
      <c r="L173" s="206"/>
      <c r="M173" s="206"/>
      <c r="N173" s="208"/>
      <c r="O173" s="208"/>
      <c r="P173" s="208"/>
      <c r="Q173" s="208"/>
      <c r="R173" s="208"/>
      <c r="S173" s="208"/>
      <c r="T173" s="208"/>
      <c r="U173" s="208"/>
      <c r="V173" s="208"/>
      <c r="W173" s="208"/>
      <c r="X173" s="208"/>
      <c r="Y173" s="208"/>
      <c r="Z173" s="208"/>
      <c r="AA173" s="208"/>
      <c r="AB173" s="208"/>
      <c r="AC173" s="208"/>
      <c r="AD173" s="208"/>
      <c r="AE173" s="208"/>
      <c r="AF173" s="45"/>
      <c r="AK173"/>
      <c r="AL173"/>
      <c r="AM173"/>
      <c r="AN173"/>
      <c r="AO173"/>
      <c r="AP173"/>
      <c r="AQ173"/>
      <c r="AR173"/>
      <c r="AS173"/>
      <c r="AT173"/>
      <c r="AU173"/>
    </row>
    <row r="174" spans="1:47">
      <c r="A174" s="206"/>
      <c r="B174" s="206"/>
      <c r="C174" s="206"/>
      <c r="D174" s="206"/>
      <c r="E174" s="206"/>
      <c r="F174" s="206"/>
      <c r="G174" s="206"/>
      <c r="H174" s="206"/>
      <c r="I174" s="206"/>
      <c r="J174" s="206"/>
      <c r="K174" s="206"/>
      <c r="L174" s="206"/>
      <c r="M174" s="206"/>
      <c r="N174" s="208"/>
      <c r="O174" s="208"/>
      <c r="P174" s="208"/>
      <c r="Q174" s="208"/>
      <c r="R174" s="208"/>
      <c r="S174" s="208"/>
      <c r="T174" s="208"/>
      <c r="U174" s="208"/>
      <c r="V174" s="208"/>
      <c r="W174" s="208"/>
      <c r="X174" s="208"/>
      <c r="Y174" s="208"/>
      <c r="Z174" s="208"/>
      <c r="AA174" s="208"/>
      <c r="AB174" s="208"/>
      <c r="AC174" s="208"/>
      <c r="AD174" s="208"/>
      <c r="AE174" s="208"/>
      <c r="AF174" s="45"/>
      <c r="AK174"/>
      <c r="AL174"/>
      <c r="AM174"/>
      <c r="AN174"/>
      <c r="AO174"/>
      <c r="AP174"/>
      <c r="AQ174"/>
      <c r="AR174"/>
      <c r="AS174"/>
      <c r="AT174"/>
      <c r="AU174"/>
    </row>
    <row r="175" spans="1:47">
      <c r="A175" s="206"/>
      <c r="B175" s="206"/>
      <c r="C175" s="206"/>
      <c r="D175" s="206"/>
      <c r="E175" s="206"/>
      <c r="F175" s="206"/>
      <c r="G175" s="206"/>
      <c r="H175" s="206"/>
      <c r="I175" s="206"/>
      <c r="J175" s="206"/>
      <c r="K175" s="206"/>
      <c r="L175" s="206"/>
      <c r="M175" s="206"/>
      <c r="N175" s="208"/>
      <c r="O175" s="208"/>
      <c r="P175" s="208"/>
      <c r="Q175" s="208"/>
      <c r="R175" s="208"/>
      <c r="S175" s="208"/>
      <c r="T175" s="208"/>
      <c r="U175" s="208"/>
      <c r="V175" s="208"/>
      <c r="W175" s="208"/>
      <c r="X175" s="208"/>
      <c r="Y175" s="208"/>
      <c r="Z175" s="208"/>
      <c r="AA175" s="208"/>
      <c r="AB175" s="208"/>
      <c r="AC175" s="208"/>
      <c r="AD175" s="208"/>
      <c r="AE175" s="208"/>
      <c r="AF175" s="45"/>
      <c r="AK175"/>
      <c r="AL175"/>
      <c r="AM175"/>
      <c r="AN175"/>
      <c r="AO175"/>
      <c r="AP175"/>
      <c r="AQ175"/>
      <c r="AR175"/>
      <c r="AS175"/>
      <c r="AT175"/>
      <c r="AU175"/>
    </row>
    <row r="176" spans="1:47">
      <c r="A176" s="206"/>
      <c r="B176" s="206"/>
      <c r="C176" s="206"/>
      <c r="D176" s="206"/>
      <c r="E176" s="206"/>
      <c r="F176" s="206"/>
      <c r="G176" s="206"/>
      <c r="H176" s="206"/>
      <c r="I176" s="206"/>
      <c r="J176" s="206"/>
      <c r="K176" s="206"/>
      <c r="L176" s="206"/>
      <c r="M176" s="206"/>
      <c r="N176" s="208"/>
      <c r="O176" s="208"/>
      <c r="P176" s="208"/>
      <c r="Q176" s="208"/>
      <c r="R176" s="208"/>
      <c r="S176" s="208"/>
      <c r="T176" s="208"/>
      <c r="U176" s="208"/>
      <c r="V176" s="208"/>
      <c r="W176" s="208"/>
      <c r="X176" s="208"/>
      <c r="Y176" s="208"/>
      <c r="Z176" s="208"/>
      <c r="AA176" s="208"/>
      <c r="AB176" s="208"/>
      <c r="AC176" s="208"/>
      <c r="AD176" s="208"/>
      <c r="AE176" s="208"/>
      <c r="AF176" s="45"/>
      <c r="AK176"/>
      <c r="AL176"/>
      <c r="AM176"/>
      <c r="AN176"/>
      <c r="AO176"/>
      <c r="AP176"/>
      <c r="AQ176"/>
      <c r="AR176"/>
      <c r="AS176"/>
      <c r="AT176"/>
      <c r="AU176"/>
    </row>
    <row r="177" spans="1:47">
      <c r="A177" s="206"/>
      <c r="B177" s="206"/>
      <c r="C177" s="206"/>
      <c r="D177" s="206"/>
      <c r="E177" s="206"/>
      <c r="F177" s="206"/>
      <c r="G177" s="206"/>
      <c r="H177" s="206"/>
      <c r="I177" s="206"/>
      <c r="J177" s="206"/>
      <c r="K177" s="206"/>
      <c r="L177" s="206"/>
      <c r="M177" s="206"/>
      <c r="N177" s="208"/>
      <c r="O177" s="208"/>
      <c r="P177" s="208"/>
      <c r="Q177" s="208"/>
      <c r="R177" s="208"/>
      <c r="S177" s="208"/>
      <c r="T177" s="208"/>
      <c r="U177" s="208"/>
      <c r="V177" s="208"/>
      <c r="W177" s="208"/>
      <c r="X177" s="208"/>
      <c r="Y177" s="208"/>
      <c r="Z177" s="208"/>
      <c r="AA177" s="208"/>
      <c r="AB177" s="208"/>
      <c r="AC177" s="208"/>
      <c r="AD177" s="208"/>
      <c r="AE177" s="208"/>
      <c r="AF177" s="45"/>
      <c r="AK177"/>
      <c r="AL177"/>
      <c r="AM177"/>
      <c r="AN177"/>
      <c r="AO177"/>
      <c r="AP177"/>
      <c r="AQ177"/>
      <c r="AR177"/>
      <c r="AS177"/>
      <c r="AT177"/>
      <c r="AU177"/>
    </row>
    <row r="178" spans="1:47">
      <c r="A178" s="206"/>
      <c r="B178" s="206"/>
      <c r="C178" s="206"/>
      <c r="D178" s="206"/>
      <c r="E178" s="206"/>
      <c r="F178" s="206"/>
      <c r="G178" s="206"/>
      <c r="H178" s="206"/>
      <c r="I178" s="206"/>
      <c r="J178" s="206"/>
      <c r="K178" s="206"/>
      <c r="L178" s="206"/>
      <c r="M178" s="206"/>
      <c r="N178" s="208"/>
      <c r="O178" s="208"/>
      <c r="P178" s="208"/>
      <c r="Q178" s="208"/>
      <c r="R178" s="208"/>
      <c r="S178" s="208"/>
      <c r="T178" s="208"/>
      <c r="U178" s="208"/>
      <c r="V178" s="208"/>
      <c r="W178" s="208"/>
      <c r="X178" s="208"/>
      <c r="Y178" s="208"/>
      <c r="Z178" s="208"/>
      <c r="AA178" s="208"/>
      <c r="AB178" s="208"/>
      <c r="AC178" s="208"/>
      <c r="AD178" s="208"/>
      <c r="AE178" s="208"/>
      <c r="AF178" s="45"/>
      <c r="AK178"/>
      <c r="AL178"/>
      <c r="AM178"/>
      <c r="AN178"/>
      <c r="AO178"/>
      <c r="AP178"/>
      <c r="AQ178"/>
      <c r="AR178"/>
      <c r="AS178"/>
      <c r="AT178"/>
      <c r="AU178"/>
    </row>
    <row r="179" spans="1:47">
      <c r="A179" s="206"/>
      <c r="B179" s="206"/>
      <c r="C179" s="206"/>
      <c r="D179" s="206"/>
      <c r="E179" s="206"/>
      <c r="F179" s="206"/>
      <c r="G179" s="206"/>
      <c r="H179" s="206"/>
      <c r="I179" s="206"/>
      <c r="J179" s="206"/>
      <c r="K179" s="206"/>
      <c r="L179" s="206"/>
      <c r="M179" s="206"/>
      <c r="N179" s="208"/>
      <c r="O179" s="208"/>
      <c r="P179" s="208"/>
      <c r="Q179" s="208"/>
      <c r="R179" s="208"/>
      <c r="S179" s="208"/>
      <c r="T179" s="208"/>
      <c r="U179" s="208"/>
      <c r="V179" s="208"/>
      <c r="W179" s="208"/>
      <c r="X179" s="208"/>
      <c r="Y179" s="208"/>
      <c r="Z179" s="208"/>
      <c r="AA179" s="208"/>
      <c r="AB179" s="208"/>
      <c r="AC179" s="208"/>
      <c r="AD179" s="208"/>
      <c r="AE179" s="208"/>
      <c r="AF179" s="45"/>
      <c r="AK179"/>
      <c r="AL179"/>
      <c r="AM179"/>
      <c r="AN179"/>
      <c r="AO179"/>
      <c r="AP179"/>
      <c r="AQ179"/>
      <c r="AR179"/>
      <c r="AS179"/>
      <c r="AT179"/>
      <c r="AU179"/>
    </row>
    <row r="180" spans="1:47">
      <c r="A180" s="206"/>
      <c r="B180" s="206"/>
      <c r="C180" s="206"/>
      <c r="D180" s="206"/>
      <c r="E180" s="206"/>
      <c r="F180" s="206"/>
      <c r="G180" s="206"/>
      <c r="H180" s="206"/>
      <c r="I180" s="206"/>
      <c r="J180" s="206"/>
      <c r="K180" s="206"/>
      <c r="L180" s="206"/>
      <c r="M180" s="206"/>
      <c r="N180" s="208"/>
      <c r="O180" s="208"/>
      <c r="P180" s="208"/>
      <c r="Q180" s="208"/>
      <c r="R180" s="208"/>
      <c r="S180" s="208"/>
      <c r="T180" s="208"/>
      <c r="U180" s="208"/>
      <c r="V180" s="208"/>
      <c r="W180" s="208"/>
      <c r="X180" s="208"/>
      <c r="Y180" s="208"/>
      <c r="Z180" s="208"/>
      <c r="AA180" s="208"/>
      <c r="AB180" s="208"/>
      <c r="AC180" s="208"/>
      <c r="AD180" s="208"/>
      <c r="AE180" s="208"/>
      <c r="AF180" s="45"/>
      <c r="AK180"/>
      <c r="AL180"/>
      <c r="AM180"/>
      <c r="AN180"/>
      <c r="AO180"/>
      <c r="AP180"/>
      <c r="AQ180"/>
      <c r="AR180"/>
      <c r="AS180"/>
      <c r="AT180"/>
      <c r="AU180"/>
    </row>
    <row r="181" spans="1:47">
      <c r="A181" s="206"/>
      <c r="B181" s="206"/>
      <c r="C181" s="206"/>
      <c r="D181" s="206"/>
      <c r="E181" s="206"/>
      <c r="F181" s="206"/>
      <c r="G181" s="206"/>
      <c r="H181" s="206"/>
      <c r="I181" s="206"/>
      <c r="J181" s="206"/>
      <c r="K181" s="206"/>
      <c r="L181" s="206"/>
      <c r="M181" s="206"/>
      <c r="N181" s="208"/>
      <c r="O181" s="208"/>
      <c r="P181" s="208"/>
      <c r="Q181" s="208"/>
      <c r="R181" s="208"/>
      <c r="S181" s="208"/>
      <c r="T181" s="208"/>
      <c r="U181" s="208"/>
      <c r="V181" s="208"/>
      <c r="W181" s="208"/>
      <c r="X181" s="208"/>
      <c r="Y181" s="208"/>
      <c r="Z181" s="208"/>
      <c r="AA181" s="208"/>
      <c r="AB181" s="208"/>
      <c r="AC181" s="208"/>
      <c r="AD181" s="208"/>
      <c r="AE181" s="208"/>
      <c r="AF181" s="45"/>
      <c r="AK181"/>
      <c r="AL181"/>
      <c r="AM181"/>
      <c r="AN181"/>
      <c r="AO181"/>
      <c r="AP181"/>
      <c r="AQ181"/>
      <c r="AR181"/>
      <c r="AS181"/>
      <c r="AT181"/>
      <c r="AU181"/>
    </row>
    <row r="182" spans="1:47">
      <c r="A182" s="206"/>
      <c r="B182" s="206"/>
      <c r="C182" s="206"/>
      <c r="D182" s="206"/>
      <c r="E182" s="206"/>
      <c r="F182" s="206"/>
      <c r="G182" s="206"/>
      <c r="H182" s="206"/>
      <c r="I182" s="206"/>
      <c r="J182" s="206"/>
      <c r="K182" s="206"/>
      <c r="L182" s="206"/>
      <c r="M182" s="206"/>
      <c r="N182" s="208"/>
      <c r="O182" s="208"/>
      <c r="P182" s="208"/>
      <c r="Q182" s="208"/>
      <c r="R182" s="208"/>
      <c r="S182" s="208"/>
      <c r="T182" s="208"/>
      <c r="U182" s="208"/>
      <c r="V182" s="208"/>
      <c r="W182" s="208"/>
      <c r="X182" s="208"/>
      <c r="Y182" s="208"/>
      <c r="Z182" s="208"/>
      <c r="AA182" s="208"/>
      <c r="AB182" s="208"/>
      <c r="AC182" s="208"/>
      <c r="AD182" s="208"/>
      <c r="AE182" s="208"/>
      <c r="AF182" s="45"/>
      <c r="AK182"/>
      <c r="AL182"/>
      <c r="AM182"/>
      <c r="AN182"/>
      <c r="AO182"/>
      <c r="AP182"/>
      <c r="AQ182"/>
      <c r="AR182"/>
      <c r="AS182"/>
      <c r="AT182"/>
      <c r="AU182"/>
    </row>
    <row r="183" spans="1:47">
      <c r="A183" s="206"/>
      <c r="B183" s="206"/>
      <c r="C183" s="206"/>
      <c r="D183" s="206"/>
      <c r="E183" s="206"/>
      <c r="F183" s="206"/>
      <c r="G183" s="206"/>
      <c r="H183" s="206"/>
      <c r="I183" s="206"/>
      <c r="J183" s="206"/>
      <c r="K183" s="206"/>
      <c r="L183" s="206"/>
      <c r="M183" s="206"/>
      <c r="N183" s="208"/>
      <c r="O183" s="208"/>
      <c r="P183" s="208"/>
      <c r="Q183" s="208"/>
      <c r="R183" s="208"/>
      <c r="S183" s="208"/>
      <c r="T183" s="208"/>
      <c r="U183" s="208"/>
      <c r="V183" s="208"/>
      <c r="W183" s="208"/>
      <c r="X183" s="208"/>
      <c r="Y183" s="208"/>
      <c r="Z183" s="208"/>
      <c r="AA183" s="208"/>
      <c r="AB183" s="208"/>
      <c r="AC183" s="208"/>
      <c r="AD183" s="208"/>
      <c r="AE183" s="208"/>
      <c r="AF183" s="45"/>
      <c r="AK183"/>
      <c r="AL183"/>
      <c r="AM183"/>
      <c r="AN183"/>
      <c r="AO183"/>
      <c r="AP183"/>
      <c r="AQ183"/>
      <c r="AR183"/>
      <c r="AS183"/>
      <c r="AT183"/>
      <c r="AU183"/>
    </row>
    <row r="184" spans="1:47">
      <c r="A184" s="206"/>
      <c r="B184" s="206"/>
      <c r="C184" s="206"/>
      <c r="D184" s="206"/>
      <c r="E184" s="206"/>
      <c r="F184" s="206"/>
      <c r="G184" s="206"/>
      <c r="H184" s="206"/>
      <c r="I184" s="206"/>
      <c r="J184" s="206"/>
      <c r="K184" s="206"/>
      <c r="L184" s="206"/>
      <c r="M184" s="206"/>
      <c r="N184" s="208"/>
      <c r="O184" s="208"/>
      <c r="P184" s="208"/>
      <c r="Q184" s="208"/>
      <c r="R184" s="208"/>
      <c r="S184" s="208"/>
      <c r="T184" s="208"/>
      <c r="U184" s="208"/>
      <c r="V184" s="208"/>
      <c r="W184" s="208"/>
      <c r="X184" s="208"/>
      <c r="Y184" s="208"/>
      <c r="Z184" s="208"/>
      <c r="AA184" s="208"/>
      <c r="AB184" s="208"/>
      <c r="AC184" s="208"/>
      <c r="AD184" s="208"/>
      <c r="AE184" s="208"/>
      <c r="AF184" s="45"/>
      <c r="AK184"/>
      <c r="AL184"/>
      <c r="AM184"/>
      <c r="AN184"/>
      <c r="AO184"/>
      <c r="AP184"/>
      <c r="AQ184"/>
      <c r="AR184"/>
      <c r="AS184"/>
      <c r="AT184"/>
      <c r="AU184"/>
    </row>
    <row r="185" spans="1:47">
      <c r="A185" s="206"/>
      <c r="B185" s="206"/>
      <c r="C185" s="206"/>
      <c r="D185" s="206"/>
      <c r="E185" s="206"/>
      <c r="F185" s="206"/>
      <c r="G185" s="206"/>
      <c r="H185" s="206"/>
      <c r="I185" s="206"/>
      <c r="J185" s="206"/>
      <c r="K185" s="206"/>
      <c r="L185" s="206"/>
      <c r="M185" s="206"/>
      <c r="N185" s="208"/>
      <c r="O185" s="208"/>
      <c r="P185" s="208"/>
      <c r="Q185" s="208"/>
      <c r="R185" s="208"/>
      <c r="S185" s="208"/>
      <c r="T185" s="208"/>
      <c r="U185" s="208"/>
      <c r="V185" s="208"/>
      <c r="W185" s="208"/>
      <c r="X185" s="208"/>
      <c r="Y185" s="208"/>
      <c r="Z185" s="208"/>
      <c r="AA185" s="208"/>
      <c r="AB185" s="208"/>
      <c r="AC185" s="208"/>
      <c r="AD185" s="208"/>
      <c r="AE185" s="208"/>
      <c r="AF185" s="45"/>
      <c r="AK185"/>
      <c r="AL185"/>
      <c r="AM185"/>
      <c r="AN185"/>
      <c r="AO185"/>
      <c r="AP185"/>
      <c r="AQ185"/>
      <c r="AR185"/>
      <c r="AS185"/>
      <c r="AT185"/>
      <c r="AU185"/>
    </row>
    <row r="186" spans="1:47">
      <c r="A186" s="206"/>
      <c r="B186" s="206"/>
      <c r="C186" s="206"/>
      <c r="D186" s="206"/>
      <c r="E186" s="206"/>
      <c r="F186" s="206"/>
      <c r="G186" s="206"/>
      <c r="H186" s="206"/>
      <c r="I186" s="206"/>
      <c r="J186" s="206"/>
      <c r="K186" s="206"/>
      <c r="L186" s="206"/>
      <c r="M186" s="206"/>
      <c r="N186" s="208"/>
      <c r="O186" s="208"/>
      <c r="P186" s="208"/>
      <c r="Q186" s="208"/>
      <c r="R186" s="208"/>
      <c r="S186" s="208"/>
      <c r="T186" s="208"/>
      <c r="U186" s="208"/>
      <c r="V186" s="208"/>
      <c r="W186" s="208"/>
      <c r="X186" s="208"/>
      <c r="Y186" s="208"/>
      <c r="Z186" s="208"/>
      <c r="AA186" s="208"/>
      <c r="AB186" s="208"/>
      <c r="AC186" s="208"/>
      <c r="AD186" s="208"/>
      <c r="AE186" s="208"/>
      <c r="AF186" s="45"/>
      <c r="AK186"/>
      <c r="AL186"/>
      <c r="AM186"/>
      <c r="AN186"/>
      <c r="AO186"/>
      <c r="AP186"/>
      <c r="AQ186"/>
      <c r="AR186"/>
      <c r="AS186"/>
      <c r="AT186"/>
      <c r="AU186"/>
    </row>
    <row r="187" spans="1:47">
      <c r="A187" s="206"/>
      <c r="B187" s="206"/>
      <c r="C187" s="206"/>
      <c r="D187" s="206"/>
      <c r="E187" s="206"/>
      <c r="F187" s="206"/>
      <c r="G187" s="206"/>
      <c r="H187" s="206"/>
      <c r="I187" s="206"/>
      <c r="J187" s="206"/>
      <c r="K187" s="206"/>
      <c r="L187" s="206"/>
      <c r="M187" s="206"/>
      <c r="N187" s="208"/>
      <c r="O187" s="208"/>
      <c r="P187" s="208"/>
      <c r="Q187" s="208"/>
      <c r="R187" s="208"/>
      <c r="S187" s="208"/>
      <c r="T187" s="208"/>
      <c r="U187" s="208"/>
      <c r="V187" s="208"/>
      <c r="W187" s="208"/>
      <c r="X187" s="208"/>
      <c r="Y187" s="208"/>
      <c r="Z187" s="208"/>
      <c r="AA187" s="208"/>
      <c r="AB187" s="208"/>
      <c r="AC187" s="208"/>
      <c r="AD187" s="208"/>
      <c r="AE187" s="208"/>
      <c r="AF187" s="45"/>
      <c r="AK187"/>
      <c r="AL187"/>
      <c r="AM187"/>
      <c r="AN187"/>
      <c r="AO187"/>
      <c r="AP187"/>
      <c r="AQ187"/>
      <c r="AR187"/>
      <c r="AS187"/>
      <c r="AT187"/>
      <c r="AU187"/>
    </row>
    <row r="188" spans="1:47">
      <c r="A188" s="206"/>
      <c r="B188" s="206"/>
      <c r="C188" s="206"/>
      <c r="D188" s="206"/>
      <c r="E188" s="206"/>
      <c r="F188" s="206"/>
      <c r="G188" s="206"/>
      <c r="H188" s="206"/>
      <c r="I188" s="206"/>
      <c r="J188" s="206"/>
      <c r="K188" s="206"/>
      <c r="L188" s="206"/>
      <c r="M188" s="206"/>
      <c r="N188" s="208"/>
      <c r="O188" s="208"/>
      <c r="P188" s="208"/>
      <c r="Q188" s="208"/>
      <c r="R188" s="208"/>
      <c r="S188" s="208"/>
      <c r="T188" s="208"/>
      <c r="U188" s="208"/>
      <c r="V188" s="208"/>
      <c r="W188" s="208"/>
      <c r="X188" s="208"/>
      <c r="Y188" s="208"/>
      <c r="Z188" s="208"/>
      <c r="AA188" s="208"/>
      <c r="AB188" s="208"/>
      <c r="AC188" s="208"/>
      <c r="AD188" s="208"/>
      <c r="AE188" s="208"/>
      <c r="AF188" s="45"/>
      <c r="AK188"/>
      <c r="AL188"/>
      <c r="AM188"/>
      <c r="AN188"/>
      <c r="AO188"/>
      <c r="AP188"/>
      <c r="AQ188"/>
      <c r="AR188"/>
      <c r="AS188"/>
      <c r="AT188"/>
      <c r="AU188"/>
    </row>
    <row r="189" spans="1:47">
      <c r="A189" s="206"/>
      <c r="B189" s="206"/>
      <c r="C189" s="206"/>
      <c r="D189" s="206"/>
      <c r="E189" s="206"/>
      <c r="F189" s="206"/>
      <c r="G189" s="206"/>
      <c r="H189" s="206"/>
      <c r="I189" s="206"/>
      <c r="J189" s="206"/>
      <c r="K189" s="206"/>
      <c r="L189" s="206"/>
      <c r="M189" s="206"/>
      <c r="N189" s="208"/>
      <c r="O189" s="208"/>
      <c r="P189" s="208"/>
      <c r="Q189" s="208"/>
      <c r="R189" s="208"/>
      <c r="S189" s="208"/>
      <c r="T189" s="208"/>
      <c r="U189" s="208"/>
      <c r="V189" s="208"/>
      <c r="W189" s="208"/>
      <c r="X189" s="208"/>
      <c r="Y189" s="208"/>
      <c r="Z189" s="208"/>
      <c r="AA189" s="208"/>
      <c r="AB189" s="208"/>
      <c r="AC189" s="208"/>
      <c r="AD189" s="208"/>
      <c r="AE189" s="208"/>
      <c r="AF189" s="45"/>
      <c r="AK189"/>
      <c r="AL189"/>
      <c r="AM189"/>
      <c r="AN189"/>
      <c r="AO189"/>
      <c r="AP189"/>
      <c r="AQ189"/>
      <c r="AR189"/>
      <c r="AS189"/>
      <c r="AT189"/>
      <c r="AU189"/>
    </row>
    <row r="190" spans="1:47">
      <c r="A190" s="206"/>
      <c r="B190" s="206"/>
      <c r="C190" s="206"/>
      <c r="D190" s="206"/>
      <c r="E190" s="206"/>
      <c r="F190" s="206"/>
      <c r="G190" s="206"/>
      <c r="H190" s="206"/>
      <c r="I190" s="206"/>
      <c r="J190" s="206"/>
      <c r="K190" s="206"/>
      <c r="L190" s="206"/>
      <c r="M190" s="206"/>
      <c r="N190" s="208"/>
      <c r="O190" s="208"/>
      <c r="P190" s="208"/>
      <c r="Q190" s="208"/>
      <c r="R190" s="208"/>
      <c r="S190" s="208"/>
      <c r="T190" s="208"/>
      <c r="U190" s="208"/>
      <c r="V190" s="208"/>
      <c r="W190" s="208"/>
      <c r="X190" s="208"/>
      <c r="Y190" s="208"/>
      <c r="Z190" s="208"/>
      <c r="AA190" s="208"/>
      <c r="AB190" s="208"/>
      <c r="AC190" s="208"/>
      <c r="AD190" s="208"/>
      <c r="AE190" s="208"/>
      <c r="AF190" s="45"/>
      <c r="AK190"/>
      <c r="AL190"/>
      <c r="AM190"/>
      <c r="AN190"/>
      <c r="AO190"/>
      <c r="AP190"/>
      <c r="AQ190"/>
      <c r="AR190"/>
      <c r="AS190"/>
      <c r="AT190"/>
      <c r="AU190"/>
    </row>
    <row r="191" spans="1:47">
      <c r="A191" s="206"/>
      <c r="B191" s="206"/>
      <c r="C191" s="206"/>
      <c r="D191" s="206"/>
      <c r="E191" s="206"/>
      <c r="F191" s="206"/>
      <c r="G191" s="206"/>
      <c r="H191" s="206"/>
      <c r="I191" s="206"/>
      <c r="J191" s="206"/>
      <c r="K191" s="206"/>
      <c r="L191" s="206"/>
      <c r="M191" s="206"/>
      <c r="N191" s="208"/>
      <c r="O191" s="208"/>
      <c r="P191" s="208"/>
      <c r="Q191" s="208"/>
      <c r="R191" s="208"/>
      <c r="S191" s="208"/>
      <c r="T191" s="208"/>
      <c r="U191" s="208"/>
      <c r="V191" s="208"/>
      <c r="W191" s="208"/>
      <c r="X191" s="208"/>
      <c r="Y191" s="208"/>
      <c r="Z191" s="208"/>
      <c r="AA191" s="208"/>
      <c r="AB191" s="208"/>
      <c r="AC191" s="208"/>
      <c r="AD191" s="208"/>
      <c r="AE191" s="208"/>
      <c r="AF191" s="45"/>
      <c r="AK191"/>
      <c r="AL191"/>
      <c r="AM191"/>
      <c r="AN191"/>
      <c r="AO191"/>
      <c r="AP191"/>
      <c r="AQ191"/>
      <c r="AR191"/>
      <c r="AS191"/>
      <c r="AT191"/>
      <c r="AU191"/>
    </row>
    <row r="192" spans="1:47">
      <c r="A192" s="206"/>
      <c r="B192" s="206"/>
      <c r="C192" s="206"/>
      <c r="D192" s="206"/>
      <c r="E192" s="206"/>
      <c r="F192" s="206"/>
      <c r="G192" s="206"/>
      <c r="H192" s="206"/>
      <c r="I192" s="206"/>
      <c r="J192" s="206"/>
      <c r="K192" s="206"/>
      <c r="L192" s="206"/>
      <c r="M192" s="206"/>
      <c r="N192" s="208"/>
      <c r="O192" s="208"/>
      <c r="P192" s="208"/>
      <c r="Q192" s="208"/>
      <c r="R192" s="208"/>
      <c r="S192" s="208"/>
      <c r="T192" s="208"/>
      <c r="U192" s="208"/>
      <c r="V192" s="208"/>
      <c r="W192" s="208"/>
      <c r="X192" s="208"/>
      <c r="Y192" s="208"/>
      <c r="Z192" s="208"/>
      <c r="AA192" s="208"/>
      <c r="AB192" s="208"/>
      <c r="AC192" s="208"/>
      <c r="AD192" s="208"/>
      <c r="AE192" s="208"/>
      <c r="AF192" s="45"/>
      <c r="AK192"/>
      <c r="AL192"/>
      <c r="AM192"/>
      <c r="AN192"/>
      <c r="AO192"/>
      <c r="AP192"/>
      <c r="AQ192"/>
      <c r="AR192"/>
      <c r="AS192"/>
      <c r="AT192"/>
      <c r="AU192"/>
    </row>
    <row r="193" spans="1:47">
      <c r="A193" s="206"/>
      <c r="B193" s="206"/>
      <c r="C193" s="206"/>
      <c r="D193" s="206"/>
      <c r="E193" s="206"/>
      <c r="F193" s="206"/>
      <c r="G193" s="206"/>
      <c r="H193" s="206"/>
      <c r="I193" s="206"/>
      <c r="J193" s="206"/>
      <c r="K193" s="206"/>
      <c r="L193" s="206"/>
      <c r="M193" s="206"/>
      <c r="N193" s="208"/>
      <c r="O193" s="208"/>
      <c r="P193" s="208"/>
      <c r="Q193" s="208"/>
      <c r="R193" s="208"/>
      <c r="S193" s="208"/>
      <c r="T193" s="208"/>
      <c r="U193" s="208"/>
      <c r="V193" s="208"/>
      <c r="W193" s="208"/>
      <c r="X193" s="208"/>
      <c r="Y193" s="208"/>
      <c r="Z193" s="208"/>
      <c r="AA193" s="208"/>
      <c r="AB193" s="208"/>
      <c r="AC193" s="208"/>
      <c r="AD193" s="208"/>
      <c r="AE193" s="208"/>
      <c r="AF193" s="45"/>
      <c r="AK193"/>
      <c r="AL193"/>
      <c r="AM193"/>
      <c r="AN193"/>
      <c r="AO193"/>
      <c r="AP193"/>
      <c r="AQ193"/>
      <c r="AR193"/>
      <c r="AS193"/>
      <c r="AT193"/>
      <c r="AU193"/>
    </row>
    <row r="194" spans="1:47">
      <c r="A194" s="206"/>
      <c r="B194" s="206"/>
      <c r="C194" s="206"/>
      <c r="D194" s="206"/>
      <c r="E194" s="206"/>
      <c r="F194" s="206"/>
      <c r="G194" s="206"/>
      <c r="H194" s="206"/>
      <c r="I194" s="206"/>
      <c r="J194" s="206"/>
      <c r="K194" s="206"/>
      <c r="L194" s="206"/>
      <c r="M194" s="206"/>
      <c r="N194" s="208"/>
      <c r="O194" s="208"/>
      <c r="P194" s="208"/>
      <c r="Q194" s="208"/>
      <c r="R194" s="208"/>
      <c r="S194" s="208"/>
      <c r="T194" s="208"/>
      <c r="U194" s="208"/>
      <c r="V194" s="208"/>
      <c r="W194" s="208"/>
      <c r="X194" s="208"/>
      <c r="Y194" s="208"/>
      <c r="Z194" s="208"/>
      <c r="AA194" s="208"/>
      <c r="AB194" s="208"/>
      <c r="AC194" s="208"/>
      <c r="AD194" s="208"/>
      <c r="AE194" s="208"/>
      <c r="AF194" s="45"/>
      <c r="AK194"/>
      <c r="AL194"/>
      <c r="AM194"/>
      <c r="AN194"/>
      <c r="AO194"/>
      <c r="AP194"/>
      <c r="AQ194"/>
      <c r="AR194"/>
      <c r="AS194"/>
      <c r="AT194"/>
      <c r="AU194"/>
    </row>
    <row r="195" spans="1:47">
      <c r="A195" s="206"/>
      <c r="B195" s="206"/>
      <c r="C195" s="206"/>
      <c r="D195" s="206"/>
      <c r="E195" s="206"/>
      <c r="F195" s="206"/>
      <c r="G195" s="206"/>
      <c r="H195" s="206"/>
      <c r="I195" s="206"/>
      <c r="J195" s="206"/>
      <c r="K195" s="206"/>
      <c r="L195" s="206"/>
      <c r="M195" s="206"/>
      <c r="N195" s="208"/>
      <c r="O195" s="208"/>
      <c r="P195" s="208"/>
      <c r="Q195" s="208"/>
      <c r="R195" s="208"/>
      <c r="S195" s="208"/>
      <c r="T195" s="208"/>
      <c r="U195" s="208"/>
      <c r="V195" s="208"/>
      <c r="W195" s="208"/>
      <c r="X195" s="208"/>
      <c r="Y195" s="208"/>
      <c r="Z195" s="208"/>
      <c r="AA195" s="208"/>
      <c r="AB195" s="208"/>
      <c r="AC195" s="208"/>
      <c r="AD195" s="208"/>
      <c r="AE195" s="208"/>
      <c r="AF195" s="45"/>
      <c r="AK195"/>
      <c r="AL195"/>
      <c r="AM195"/>
      <c r="AN195"/>
      <c r="AO195"/>
      <c r="AP195"/>
      <c r="AQ195"/>
      <c r="AR195"/>
      <c r="AS195"/>
      <c r="AT195"/>
      <c r="AU195"/>
    </row>
    <row r="196" spans="1:47">
      <c r="A196" s="206"/>
      <c r="B196" s="206"/>
      <c r="C196" s="206"/>
      <c r="D196" s="206"/>
      <c r="E196" s="206"/>
      <c r="F196" s="206"/>
      <c r="G196" s="206"/>
      <c r="H196" s="206"/>
      <c r="I196" s="206"/>
      <c r="J196" s="206"/>
      <c r="K196" s="206"/>
      <c r="L196" s="206"/>
      <c r="M196" s="206"/>
      <c r="N196" s="208"/>
      <c r="O196" s="208"/>
      <c r="P196" s="208"/>
      <c r="Q196" s="208"/>
      <c r="R196" s="208"/>
      <c r="S196" s="208"/>
      <c r="T196" s="208"/>
      <c r="U196" s="208"/>
      <c r="V196" s="208"/>
      <c r="W196" s="208"/>
      <c r="X196" s="208"/>
      <c r="Y196" s="208"/>
      <c r="Z196" s="208"/>
      <c r="AA196" s="208"/>
      <c r="AB196" s="208"/>
      <c r="AC196" s="208"/>
      <c r="AD196" s="208"/>
      <c r="AE196" s="208"/>
      <c r="AF196" s="45"/>
      <c r="AK196"/>
      <c r="AL196"/>
      <c r="AM196"/>
      <c r="AN196"/>
      <c r="AO196"/>
      <c r="AP196"/>
      <c r="AQ196"/>
      <c r="AR196"/>
      <c r="AS196"/>
      <c r="AT196"/>
      <c r="AU196"/>
    </row>
    <row r="197" spans="1:47">
      <c r="A197" s="206"/>
      <c r="B197" s="206"/>
      <c r="C197" s="206"/>
      <c r="D197" s="206"/>
      <c r="E197" s="206"/>
      <c r="F197" s="206"/>
      <c r="G197" s="206"/>
      <c r="H197" s="206"/>
      <c r="I197" s="206"/>
      <c r="J197" s="206"/>
      <c r="K197" s="206"/>
      <c r="L197" s="206"/>
      <c r="M197" s="206"/>
      <c r="N197" s="208"/>
      <c r="O197" s="208"/>
      <c r="P197" s="208"/>
      <c r="Q197" s="208"/>
      <c r="R197" s="208"/>
      <c r="S197" s="208"/>
      <c r="T197" s="208"/>
      <c r="U197" s="208"/>
      <c r="V197" s="208"/>
      <c r="W197" s="208"/>
      <c r="X197" s="208"/>
      <c r="Y197" s="208"/>
      <c r="Z197" s="208"/>
      <c r="AA197" s="208"/>
      <c r="AB197" s="208"/>
      <c r="AC197" s="208"/>
      <c r="AD197" s="208"/>
      <c r="AE197" s="208"/>
      <c r="AF197" s="45"/>
      <c r="AK197"/>
      <c r="AL197"/>
      <c r="AM197"/>
      <c r="AN197"/>
      <c r="AO197"/>
      <c r="AP197"/>
      <c r="AQ197"/>
      <c r="AR197"/>
      <c r="AS197"/>
      <c r="AT197"/>
      <c r="AU197"/>
    </row>
    <row r="198" spans="1:47">
      <c r="A198" s="206"/>
      <c r="B198" s="206"/>
      <c r="C198" s="206"/>
      <c r="D198" s="206"/>
      <c r="E198" s="206"/>
      <c r="F198" s="206"/>
      <c r="G198" s="206"/>
      <c r="H198" s="206"/>
      <c r="I198" s="206"/>
      <c r="J198" s="206"/>
      <c r="K198" s="206"/>
      <c r="L198" s="206"/>
      <c r="M198" s="206"/>
      <c r="N198" s="208"/>
      <c r="O198" s="208"/>
      <c r="P198" s="208"/>
      <c r="Q198" s="208"/>
      <c r="R198" s="208"/>
      <c r="S198" s="208"/>
      <c r="T198" s="208"/>
      <c r="U198" s="208"/>
      <c r="V198" s="208"/>
      <c r="W198" s="208"/>
      <c r="X198" s="208"/>
      <c r="Y198" s="208"/>
      <c r="Z198" s="208"/>
      <c r="AA198" s="208"/>
      <c r="AB198" s="208"/>
      <c r="AC198" s="208"/>
      <c r="AD198" s="208"/>
      <c r="AE198" s="208"/>
      <c r="AF198" s="45"/>
      <c r="AK198"/>
      <c r="AL198"/>
      <c r="AM198"/>
      <c r="AN198"/>
      <c r="AO198"/>
      <c r="AP198"/>
      <c r="AQ198"/>
      <c r="AR198"/>
      <c r="AS198"/>
      <c r="AT198"/>
      <c r="AU198"/>
    </row>
    <row r="199" spans="1:47">
      <c r="A199" s="206"/>
      <c r="B199" s="206"/>
      <c r="C199" s="206"/>
      <c r="D199" s="206"/>
      <c r="E199" s="206"/>
      <c r="F199" s="206"/>
      <c r="G199" s="206"/>
      <c r="H199" s="206"/>
      <c r="I199" s="206"/>
      <c r="J199" s="206"/>
      <c r="K199" s="206"/>
      <c r="L199" s="206"/>
      <c r="M199" s="206"/>
      <c r="N199" s="208"/>
      <c r="O199" s="208"/>
      <c r="P199" s="208"/>
      <c r="Q199" s="208"/>
      <c r="R199" s="208"/>
      <c r="S199" s="208"/>
      <c r="T199" s="208"/>
      <c r="U199" s="208"/>
      <c r="V199" s="208"/>
      <c r="W199" s="208"/>
      <c r="X199" s="208"/>
      <c r="Y199" s="208"/>
      <c r="Z199" s="208"/>
      <c r="AA199" s="208"/>
      <c r="AB199" s="208"/>
      <c r="AC199" s="208"/>
      <c r="AD199" s="208"/>
      <c r="AE199" s="208"/>
      <c r="AF199" s="45"/>
      <c r="AK199"/>
      <c r="AL199"/>
      <c r="AM199"/>
      <c r="AN199"/>
      <c r="AO199"/>
      <c r="AP199"/>
      <c r="AQ199"/>
      <c r="AR199"/>
      <c r="AS199"/>
      <c r="AT199"/>
      <c r="AU199"/>
    </row>
    <row r="200" spans="1:47">
      <c r="A200" s="206"/>
      <c r="B200" s="206"/>
      <c r="C200" s="206"/>
      <c r="D200" s="206"/>
      <c r="E200" s="206"/>
      <c r="F200" s="206"/>
      <c r="G200" s="206"/>
      <c r="H200" s="206"/>
      <c r="I200" s="206"/>
      <c r="J200" s="206"/>
      <c r="K200" s="206"/>
      <c r="L200" s="206"/>
      <c r="M200" s="206"/>
      <c r="N200" s="208"/>
      <c r="O200" s="208"/>
      <c r="P200" s="208"/>
      <c r="Q200" s="208"/>
      <c r="R200" s="208"/>
      <c r="S200" s="208"/>
      <c r="T200" s="208"/>
      <c r="U200" s="208"/>
      <c r="V200" s="208"/>
      <c r="W200" s="208"/>
      <c r="X200" s="208"/>
      <c r="Y200" s="208"/>
      <c r="Z200" s="208"/>
      <c r="AA200" s="208"/>
      <c r="AB200" s="208"/>
      <c r="AC200" s="208"/>
      <c r="AD200" s="208"/>
      <c r="AE200" s="208"/>
      <c r="AF200" s="45"/>
      <c r="AK200"/>
      <c r="AL200"/>
      <c r="AM200"/>
      <c r="AN200"/>
      <c r="AO200"/>
      <c r="AP200"/>
      <c r="AQ200"/>
      <c r="AR200"/>
      <c r="AS200"/>
      <c r="AT200"/>
      <c r="AU200"/>
    </row>
    <row r="201" spans="1:47">
      <c r="A201" s="206"/>
      <c r="B201" s="206"/>
      <c r="C201" s="206"/>
      <c r="D201" s="206"/>
      <c r="E201" s="206"/>
      <c r="F201" s="206"/>
      <c r="G201" s="206"/>
      <c r="H201" s="206"/>
      <c r="I201" s="206"/>
      <c r="J201" s="206"/>
      <c r="K201" s="206"/>
      <c r="L201" s="206"/>
      <c r="M201" s="206"/>
      <c r="N201" s="208"/>
      <c r="O201" s="208"/>
      <c r="P201" s="208"/>
      <c r="Q201" s="208"/>
      <c r="R201" s="208"/>
      <c r="S201" s="208"/>
      <c r="T201" s="208"/>
      <c r="U201" s="208"/>
      <c r="V201" s="208"/>
      <c r="W201" s="208"/>
      <c r="X201" s="208"/>
      <c r="Y201" s="208"/>
      <c r="Z201" s="208"/>
      <c r="AA201" s="208"/>
      <c r="AB201" s="208"/>
      <c r="AC201" s="208"/>
      <c r="AD201" s="208"/>
      <c r="AE201" s="208"/>
      <c r="AF201" s="45"/>
      <c r="AK201"/>
      <c r="AL201"/>
      <c r="AM201"/>
      <c r="AN201"/>
      <c r="AO201"/>
      <c r="AP201"/>
      <c r="AQ201"/>
      <c r="AR201"/>
      <c r="AS201"/>
      <c r="AT201"/>
      <c r="AU201"/>
    </row>
    <row r="202" spans="1:47">
      <c r="A202" s="206"/>
      <c r="B202" s="206"/>
      <c r="C202" s="206"/>
      <c r="D202" s="206"/>
      <c r="E202" s="206"/>
      <c r="F202" s="206"/>
      <c r="G202" s="206"/>
      <c r="H202" s="206"/>
      <c r="I202" s="206"/>
      <c r="J202" s="206"/>
      <c r="K202" s="206"/>
      <c r="L202" s="206"/>
      <c r="M202" s="206"/>
      <c r="N202" s="208"/>
      <c r="O202" s="208"/>
      <c r="P202" s="208"/>
      <c r="Q202" s="208"/>
      <c r="R202" s="208"/>
      <c r="S202" s="208"/>
      <c r="T202" s="208"/>
      <c r="U202" s="208"/>
      <c r="V202" s="208"/>
      <c r="W202" s="208"/>
      <c r="X202" s="208"/>
      <c r="Y202" s="208"/>
      <c r="Z202" s="208"/>
      <c r="AA202" s="208"/>
      <c r="AB202" s="208"/>
      <c r="AC202" s="208"/>
      <c r="AD202" s="208"/>
      <c r="AE202" s="208"/>
      <c r="AF202" s="45"/>
      <c r="AK202"/>
      <c r="AL202"/>
      <c r="AM202"/>
      <c r="AN202"/>
      <c r="AO202"/>
      <c r="AP202"/>
      <c r="AQ202"/>
      <c r="AR202"/>
      <c r="AS202"/>
      <c r="AT202"/>
      <c r="AU202"/>
    </row>
    <row r="203" spans="1:47">
      <c r="A203" s="206"/>
      <c r="B203" s="206"/>
      <c r="C203" s="206"/>
      <c r="D203" s="206"/>
      <c r="E203" s="206"/>
      <c r="F203" s="206"/>
      <c r="G203" s="206"/>
      <c r="H203" s="206"/>
      <c r="I203" s="206"/>
      <c r="J203" s="206"/>
      <c r="K203" s="206"/>
      <c r="L203" s="206"/>
      <c r="M203" s="206"/>
      <c r="N203" s="208"/>
      <c r="O203" s="208"/>
      <c r="P203" s="208"/>
      <c r="Q203" s="208"/>
      <c r="R203" s="208"/>
      <c r="S203" s="208"/>
      <c r="T203" s="208"/>
      <c r="U203" s="208"/>
      <c r="V203" s="208"/>
      <c r="W203" s="208"/>
      <c r="X203" s="208"/>
      <c r="Y203" s="208"/>
      <c r="Z203" s="208"/>
      <c r="AA203" s="208"/>
      <c r="AB203" s="208"/>
      <c r="AC203" s="208"/>
      <c r="AD203" s="208"/>
      <c r="AE203" s="208"/>
      <c r="AF203" s="45"/>
      <c r="AK203"/>
      <c r="AL203"/>
      <c r="AM203"/>
      <c r="AN203"/>
      <c r="AO203"/>
      <c r="AP203"/>
      <c r="AQ203"/>
      <c r="AR203"/>
      <c r="AS203"/>
      <c r="AT203"/>
      <c r="AU203"/>
    </row>
    <row r="204" spans="1:47">
      <c r="A204" s="206"/>
      <c r="B204" s="206"/>
      <c r="C204" s="206"/>
      <c r="D204" s="206"/>
      <c r="E204" s="206"/>
      <c r="F204" s="206"/>
      <c r="G204" s="206"/>
      <c r="H204" s="206"/>
      <c r="I204" s="206"/>
      <c r="J204" s="206"/>
      <c r="K204" s="206"/>
      <c r="L204" s="206"/>
      <c r="M204" s="206"/>
      <c r="N204" s="208"/>
      <c r="O204" s="208"/>
      <c r="P204" s="208"/>
      <c r="Q204" s="208"/>
      <c r="R204" s="208"/>
      <c r="S204" s="208"/>
      <c r="T204" s="208"/>
      <c r="U204" s="208"/>
      <c r="V204" s="208"/>
      <c r="W204" s="208"/>
      <c r="X204" s="208"/>
      <c r="Y204" s="208"/>
      <c r="Z204" s="208"/>
      <c r="AA204" s="208"/>
      <c r="AB204" s="208"/>
      <c r="AC204" s="208"/>
      <c r="AD204" s="208"/>
      <c r="AE204" s="208"/>
      <c r="AF204" s="45"/>
      <c r="AK204"/>
      <c r="AL204"/>
      <c r="AM204"/>
      <c r="AN204"/>
      <c r="AO204"/>
      <c r="AP204"/>
      <c r="AQ204"/>
      <c r="AR204"/>
      <c r="AS204"/>
      <c r="AT204"/>
      <c r="AU204"/>
    </row>
    <row r="205" spans="1:47">
      <c r="A205" s="206"/>
      <c r="B205" s="206"/>
      <c r="C205" s="206"/>
      <c r="D205" s="206"/>
      <c r="E205" s="206"/>
      <c r="F205" s="206"/>
      <c r="G205" s="206"/>
      <c r="H205" s="206"/>
      <c r="I205" s="206"/>
      <c r="J205" s="206"/>
      <c r="K205" s="206"/>
      <c r="L205" s="206"/>
      <c r="M205" s="206"/>
      <c r="N205" s="208"/>
      <c r="O205" s="208"/>
      <c r="P205" s="208"/>
      <c r="Q205" s="208"/>
      <c r="R205" s="208"/>
      <c r="S205" s="208"/>
      <c r="T205" s="208"/>
      <c r="U205" s="208"/>
      <c r="V205" s="208"/>
      <c r="W205" s="208"/>
      <c r="X205" s="208"/>
      <c r="Y205" s="208"/>
      <c r="Z205" s="208"/>
      <c r="AA205" s="208"/>
      <c r="AB205" s="208"/>
      <c r="AC205" s="208"/>
      <c r="AD205" s="208"/>
      <c r="AE205" s="208"/>
      <c r="AF205" s="45"/>
      <c r="AK205"/>
      <c r="AL205"/>
      <c r="AM205"/>
      <c r="AN205"/>
      <c r="AO205"/>
      <c r="AP205"/>
      <c r="AQ205"/>
      <c r="AR205"/>
      <c r="AS205"/>
      <c r="AT205"/>
      <c r="AU205"/>
    </row>
    <row r="206" spans="1:47">
      <c r="A206" s="206"/>
      <c r="B206" s="206"/>
      <c r="C206" s="206"/>
      <c r="D206" s="206"/>
      <c r="E206" s="206"/>
      <c r="F206" s="206"/>
      <c r="G206" s="206"/>
      <c r="H206" s="206"/>
      <c r="I206" s="206"/>
      <c r="J206" s="206"/>
      <c r="K206" s="206"/>
      <c r="L206" s="206"/>
      <c r="M206" s="206"/>
      <c r="N206" s="208"/>
      <c r="O206" s="208"/>
      <c r="P206" s="208"/>
      <c r="Q206" s="208"/>
      <c r="R206" s="208"/>
      <c r="S206" s="208"/>
      <c r="T206" s="208"/>
      <c r="U206" s="208"/>
      <c r="V206" s="208"/>
      <c r="W206" s="208"/>
      <c r="X206" s="208"/>
      <c r="Y206" s="208"/>
      <c r="Z206" s="208"/>
      <c r="AA206" s="208"/>
      <c r="AB206" s="208"/>
      <c r="AC206" s="208"/>
      <c r="AD206" s="208"/>
      <c r="AE206" s="208"/>
      <c r="AF206" s="45"/>
      <c r="AK206"/>
      <c r="AL206"/>
      <c r="AM206"/>
      <c r="AN206"/>
      <c r="AO206"/>
      <c r="AP206"/>
      <c r="AQ206"/>
      <c r="AR206"/>
      <c r="AS206"/>
      <c r="AT206"/>
      <c r="AU206"/>
    </row>
    <row r="207" spans="1:47">
      <c r="A207" s="206"/>
      <c r="B207" s="206"/>
      <c r="C207" s="206"/>
      <c r="D207" s="206"/>
      <c r="E207" s="206"/>
      <c r="F207" s="206"/>
      <c r="G207" s="206"/>
      <c r="H207" s="206"/>
      <c r="I207" s="206"/>
      <c r="J207" s="206"/>
      <c r="K207" s="206"/>
      <c r="L207" s="206"/>
      <c r="M207" s="206"/>
      <c r="N207" s="208"/>
      <c r="O207" s="208"/>
      <c r="P207" s="208"/>
      <c r="Q207" s="208"/>
      <c r="R207" s="208"/>
      <c r="S207" s="208"/>
      <c r="T207" s="208"/>
      <c r="U207" s="208"/>
      <c r="V207" s="208"/>
      <c r="W207" s="208"/>
      <c r="X207" s="208"/>
      <c r="Y207" s="208"/>
      <c r="Z207" s="208"/>
      <c r="AA207" s="208"/>
      <c r="AB207" s="208"/>
      <c r="AC207" s="208"/>
      <c r="AD207" s="208"/>
      <c r="AE207" s="208"/>
      <c r="AF207" s="45"/>
      <c r="AK207"/>
      <c r="AL207"/>
      <c r="AM207"/>
      <c r="AN207"/>
      <c r="AO207"/>
      <c r="AP207"/>
      <c r="AQ207"/>
      <c r="AR207"/>
      <c r="AS207"/>
      <c r="AT207"/>
      <c r="AU207"/>
    </row>
    <row r="208" spans="1:47">
      <c r="A208" s="206"/>
      <c r="B208" s="206"/>
      <c r="C208" s="206"/>
      <c r="D208" s="206"/>
      <c r="E208" s="206"/>
      <c r="F208" s="206"/>
      <c r="G208" s="206"/>
      <c r="H208" s="206"/>
      <c r="I208" s="206"/>
      <c r="J208" s="206"/>
      <c r="K208" s="206"/>
      <c r="L208" s="206"/>
      <c r="M208" s="206"/>
      <c r="N208" s="208"/>
      <c r="O208" s="208"/>
      <c r="P208" s="208"/>
      <c r="Q208" s="208"/>
      <c r="R208" s="208"/>
      <c r="S208" s="208"/>
      <c r="T208" s="208"/>
      <c r="U208" s="208"/>
      <c r="V208" s="208"/>
      <c r="W208" s="208"/>
      <c r="X208" s="208"/>
      <c r="Y208" s="208"/>
      <c r="Z208" s="208"/>
      <c r="AA208" s="208"/>
      <c r="AB208" s="208"/>
      <c r="AC208" s="208"/>
      <c r="AD208" s="208"/>
      <c r="AE208" s="208"/>
      <c r="AF208" s="45"/>
      <c r="AK208"/>
      <c r="AL208"/>
      <c r="AM208"/>
      <c r="AN208"/>
      <c r="AO208"/>
      <c r="AP208"/>
      <c r="AQ208"/>
      <c r="AR208"/>
      <c r="AS208"/>
      <c r="AT208"/>
      <c r="AU208"/>
    </row>
    <row r="209" spans="1:47">
      <c r="A209" s="206"/>
      <c r="B209" s="206"/>
      <c r="C209" s="206"/>
      <c r="D209" s="206"/>
      <c r="E209" s="206"/>
      <c r="F209" s="206"/>
      <c r="G209" s="206"/>
      <c r="H209" s="206"/>
      <c r="I209" s="206"/>
      <c r="J209" s="206"/>
      <c r="K209" s="206"/>
      <c r="L209" s="206"/>
      <c r="M209" s="206"/>
      <c r="N209" s="208"/>
      <c r="O209" s="208"/>
      <c r="P209" s="208"/>
      <c r="Q209" s="208"/>
      <c r="R209" s="208"/>
      <c r="S209" s="208"/>
      <c r="T209" s="208"/>
      <c r="U209" s="208"/>
      <c r="V209" s="208"/>
      <c r="W209" s="208"/>
      <c r="X209" s="208"/>
      <c r="Y209" s="208"/>
      <c r="Z209" s="208"/>
      <c r="AA209" s="208"/>
      <c r="AB209" s="208"/>
      <c r="AC209" s="208"/>
      <c r="AD209" s="208"/>
      <c r="AE209" s="208"/>
      <c r="AF209" s="45"/>
      <c r="AK209"/>
      <c r="AL209"/>
      <c r="AM209"/>
      <c r="AN209"/>
      <c r="AO209"/>
      <c r="AP209"/>
      <c r="AQ209"/>
      <c r="AR209"/>
      <c r="AS209"/>
      <c r="AT209"/>
      <c r="AU209"/>
    </row>
    <row r="210" spans="1:47">
      <c r="A210" s="206"/>
      <c r="B210" s="206"/>
      <c r="C210" s="206"/>
      <c r="D210" s="206"/>
      <c r="E210" s="206"/>
      <c r="F210" s="206"/>
      <c r="G210" s="206"/>
      <c r="H210" s="206"/>
      <c r="I210" s="206"/>
      <c r="J210" s="206"/>
      <c r="K210" s="206"/>
      <c r="L210" s="206"/>
      <c r="M210" s="206"/>
      <c r="N210" s="208"/>
      <c r="O210" s="208"/>
      <c r="P210" s="208"/>
      <c r="Q210" s="208"/>
      <c r="R210" s="208"/>
      <c r="S210" s="208"/>
      <c r="T210" s="208"/>
      <c r="U210" s="208"/>
      <c r="V210" s="208"/>
      <c r="W210" s="208"/>
      <c r="X210" s="208"/>
      <c r="Y210" s="208"/>
      <c r="Z210" s="208"/>
      <c r="AA210" s="208"/>
      <c r="AB210" s="208"/>
      <c r="AC210" s="208"/>
      <c r="AD210" s="208"/>
      <c r="AE210" s="208"/>
      <c r="AF210" s="45"/>
      <c r="AK210"/>
      <c r="AL210"/>
      <c r="AM210"/>
      <c r="AN210"/>
      <c r="AO210"/>
      <c r="AP210"/>
      <c r="AQ210"/>
      <c r="AR210"/>
      <c r="AS210"/>
      <c r="AT210"/>
      <c r="AU210"/>
    </row>
    <row r="211" spans="1:47">
      <c r="A211" s="206"/>
      <c r="B211" s="206"/>
      <c r="C211" s="206"/>
      <c r="D211" s="206"/>
      <c r="E211" s="206"/>
      <c r="F211" s="206"/>
      <c r="G211" s="206"/>
      <c r="H211" s="206"/>
      <c r="I211" s="206"/>
      <c r="J211" s="206"/>
      <c r="K211" s="206"/>
      <c r="L211" s="206"/>
      <c r="M211" s="206"/>
      <c r="N211" s="208"/>
      <c r="O211" s="208"/>
      <c r="P211" s="208"/>
      <c r="Q211" s="208"/>
      <c r="R211" s="208"/>
      <c r="S211" s="208"/>
      <c r="T211" s="208"/>
      <c r="U211" s="208"/>
      <c r="V211" s="208"/>
      <c r="W211" s="208"/>
      <c r="X211" s="208"/>
      <c r="Y211" s="208"/>
      <c r="Z211" s="208"/>
      <c r="AA211" s="208"/>
      <c r="AB211" s="208"/>
      <c r="AC211" s="208"/>
      <c r="AD211" s="208"/>
      <c r="AE211" s="208"/>
      <c r="AF211" s="45"/>
      <c r="AK211"/>
      <c r="AL211"/>
      <c r="AM211"/>
      <c r="AN211"/>
      <c r="AO211"/>
      <c r="AP211"/>
      <c r="AQ211"/>
      <c r="AR211"/>
      <c r="AS211"/>
      <c r="AT211"/>
      <c r="AU211"/>
    </row>
    <row r="212" spans="1:47">
      <c r="A212" s="206"/>
      <c r="B212" s="206"/>
      <c r="C212" s="206"/>
      <c r="D212" s="206"/>
      <c r="E212" s="206"/>
      <c r="F212" s="206"/>
      <c r="G212" s="206"/>
      <c r="H212" s="206"/>
      <c r="I212" s="206"/>
      <c r="J212" s="206"/>
      <c r="K212" s="206"/>
      <c r="L212" s="206"/>
      <c r="M212" s="206"/>
      <c r="N212" s="208"/>
      <c r="O212" s="208"/>
      <c r="P212" s="208"/>
      <c r="Q212" s="208"/>
      <c r="R212" s="208"/>
      <c r="S212" s="208"/>
      <c r="T212" s="208"/>
      <c r="U212" s="208"/>
      <c r="V212" s="208"/>
      <c r="W212" s="208"/>
      <c r="X212" s="208"/>
      <c r="Y212" s="208"/>
      <c r="Z212" s="208"/>
      <c r="AA212" s="208"/>
      <c r="AB212" s="208"/>
      <c r="AC212" s="208"/>
      <c r="AD212" s="208"/>
      <c r="AE212" s="208"/>
      <c r="AF212" s="45"/>
      <c r="AK212"/>
      <c r="AL212"/>
      <c r="AM212"/>
      <c r="AN212"/>
      <c r="AO212"/>
      <c r="AP212"/>
      <c r="AQ212"/>
      <c r="AR212"/>
      <c r="AS212"/>
      <c r="AT212"/>
      <c r="AU212"/>
    </row>
    <row r="213" spans="1:47">
      <c r="A213" s="206"/>
      <c r="B213" s="206"/>
      <c r="C213" s="206"/>
      <c r="D213" s="206"/>
      <c r="E213" s="206"/>
      <c r="F213" s="206"/>
      <c r="G213" s="206"/>
      <c r="H213" s="206"/>
      <c r="I213" s="206"/>
      <c r="J213" s="206"/>
      <c r="K213" s="206"/>
      <c r="L213" s="206"/>
      <c r="M213" s="206"/>
      <c r="N213" s="208"/>
      <c r="O213" s="208"/>
      <c r="P213" s="208"/>
      <c r="Q213" s="208"/>
      <c r="R213" s="208"/>
      <c r="S213" s="208"/>
      <c r="T213" s="208"/>
      <c r="U213" s="208"/>
      <c r="V213" s="208"/>
      <c r="W213" s="208"/>
      <c r="X213" s="208"/>
      <c r="Y213" s="208"/>
      <c r="Z213" s="208"/>
      <c r="AA213" s="208"/>
      <c r="AB213" s="208"/>
      <c r="AC213" s="208"/>
      <c r="AD213" s="208"/>
      <c r="AE213" s="208"/>
      <c r="AF213" s="45"/>
      <c r="AK213"/>
      <c r="AL213"/>
      <c r="AM213"/>
      <c r="AN213"/>
      <c r="AO213"/>
      <c r="AP213"/>
      <c r="AQ213"/>
      <c r="AR213"/>
      <c r="AS213"/>
      <c r="AT213"/>
      <c r="AU213"/>
    </row>
    <row r="214" spans="1:47">
      <c r="A214" s="206"/>
      <c r="B214" s="206"/>
      <c r="C214" s="206"/>
      <c r="D214" s="206"/>
      <c r="E214" s="206"/>
      <c r="F214" s="206"/>
      <c r="G214" s="206"/>
      <c r="H214" s="206"/>
      <c r="I214" s="206"/>
      <c r="J214" s="206"/>
      <c r="K214" s="206"/>
      <c r="L214" s="206"/>
      <c r="M214" s="206"/>
      <c r="N214" s="208"/>
      <c r="O214" s="208"/>
      <c r="P214" s="208"/>
      <c r="Q214" s="208"/>
      <c r="R214" s="208"/>
      <c r="S214" s="208"/>
      <c r="T214" s="208"/>
      <c r="U214" s="208"/>
      <c r="V214" s="208"/>
      <c r="W214" s="208"/>
      <c r="X214" s="208"/>
      <c r="Y214" s="208"/>
      <c r="Z214" s="208"/>
      <c r="AA214" s="208"/>
      <c r="AB214" s="208"/>
      <c r="AC214" s="208"/>
      <c r="AD214" s="208"/>
      <c r="AE214" s="208"/>
      <c r="AF214" s="45"/>
      <c r="AK214"/>
      <c r="AL214"/>
      <c r="AM214"/>
      <c r="AN214"/>
      <c r="AO214"/>
      <c r="AP214"/>
      <c r="AQ214"/>
      <c r="AR214"/>
      <c r="AS214"/>
      <c r="AT214"/>
      <c r="AU214"/>
    </row>
    <row r="215" spans="1:47">
      <c r="A215" s="206"/>
      <c r="B215" s="206"/>
      <c r="C215" s="206"/>
      <c r="D215" s="206"/>
      <c r="E215" s="206"/>
      <c r="F215" s="206"/>
      <c r="G215" s="206"/>
      <c r="H215" s="206"/>
      <c r="I215" s="206"/>
      <c r="J215" s="206"/>
      <c r="K215" s="206"/>
      <c r="L215" s="206"/>
      <c r="M215" s="206"/>
      <c r="N215" s="208"/>
      <c r="O215" s="208"/>
      <c r="P215" s="208"/>
      <c r="Q215" s="208"/>
      <c r="R215" s="208"/>
      <c r="S215" s="208"/>
      <c r="T215" s="208"/>
      <c r="U215" s="208"/>
      <c r="V215" s="208"/>
      <c r="W215" s="208"/>
      <c r="X215" s="208"/>
      <c r="Y215" s="208"/>
      <c r="Z215" s="208"/>
      <c r="AA215" s="208"/>
      <c r="AB215" s="208"/>
      <c r="AC215" s="208"/>
      <c r="AD215" s="208"/>
      <c r="AE215" s="208"/>
      <c r="AF215" s="45"/>
      <c r="AK215"/>
      <c r="AL215"/>
      <c r="AM215"/>
      <c r="AN215"/>
      <c r="AO215"/>
      <c r="AP215"/>
      <c r="AQ215"/>
      <c r="AR215"/>
      <c r="AS215"/>
      <c r="AT215"/>
      <c r="AU215"/>
    </row>
    <row r="216" spans="1:47">
      <c r="A216" s="206"/>
      <c r="B216" s="206"/>
      <c r="C216" s="206"/>
      <c r="D216" s="206"/>
      <c r="E216" s="206"/>
      <c r="F216" s="206"/>
      <c r="G216" s="206"/>
      <c r="H216" s="206"/>
      <c r="I216" s="206"/>
      <c r="J216" s="206"/>
      <c r="K216" s="206"/>
      <c r="L216" s="206"/>
      <c r="M216" s="206"/>
      <c r="N216" s="208"/>
      <c r="O216" s="208"/>
      <c r="P216" s="208"/>
      <c r="Q216" s="208"/>
      <c r="R216" s="208"/>
      <c r="S216" s="208"/>
      <c r="T216" s="208"/>
      <c r="U216" s="208"/>
      <c r="V216" s="208"/>
      <c r="W216" s="208"/>
      <c r="X216" s="208"/>
      <c r="Y216" s="208"/>
      <c r="Z216" s="208"/>
      <c r="AA216" s="208"/>
      <c r="AB216" s="208"/>
      <c r="AC216" s="208"/>
      <c r="AD216" s="208"/>
      <c r="AE216" s="208"/>
      <c r="AF216" s="45"/>
      <c r="AK216"/>
      <c r="AL216"/>
      <c r="AM216"/>
      <c r="AN216"/>
      <c r="AO216"/>
      <c r="AP216"/>
      <c r="AQ216"/>
      <c r="AR216"/>
      <c r="AS216"/>
      <c r="AT216"/>
      <c r="AU216"/>
    </row>
    <row r="217" spans="1:47">
      <c r="A217" s="206"/>
      <c r="B217" s="206"/>
      <c r="C217" s="206"/>
      <c r="D217" s="206"/>
      <c r="E217" s="206"/>
      <c r="F217" s="206"/>
      <c r="G217" s="206"/>
      <c r="H217" s="206"/>
      <c r="I217" s="206"/>
      <c r="J217" s="206"/>
      <c r="K217" s="206"/>
      <c r="L217" s="206"/>
      <c r="M217" s="206"/>
      <c r="N217" s="208"/>
      <c r="O217" s="208"/>
      <c r="P217" s="208"/>
      <c r="Q217" s="208"/>
      <c r="R217" s="208"/>
      <c r="S217" s="208"/>
      <c r="T217" s="208"/>
      <c r="U217" s="208"/>
      <c r="V217" s="208"/>
      <c r="W217" s="208"/>
      <c r="X217" s="208"/>
      <c r="Y217" s="208"/>
      <c r="Z217" s="208"/>
      <c r="AA217" s="208"/>
      <c r="AB217" s="208"/>
      <c r="AC217" s="208"/>
      <c r="AD217" s="208"/>
      <c r="AE217" s="208"/>
      <c r="AF217" s="45"/>
      <c r="AK217"/>
      <c r="AL217"/>
      <c r="AM217"/>
      <c r="AN217"/>
      <c r="AO217"/>
      <c r="AP217"/>
      <c r="AQ217"/>
      <c r="AR217"/>
      <c r="AS217"/>
      <c r="AT217"/>
      <c r="AU217"/>
    </row>
    <row r="218" spans="1:47">
      <c r="A218" s="206"/>
      <c r="B218" s="206"/>
      <c r="C218" s="206"/>
      <c r="D218" s="206"/>
      <c r="E218" s="206"/>
      <c r="F218" s="206"/>
      <c r="G218" s="206"/>
      <c r="H218" s="206"/>
      <c r="I218" s="206"/>
      <c r="J218" s="206"/>
      <c r="K218" s="206"/>
      <c r="L218" s="206"/>
      <c r="M218" s="206"/>
      <c r="N218" s="208"/>
      <c r="O218" s="208"/>
      <c r="P218" s="208"/>
      <c r="Q218" s="208"/>
      <c r="R218" s="208"/>
      <c r="S218" s="208"/>
      <c r="T218" s="208"/>
      <c r="U218" s="208"/>
      <c r="V218" s="208"/>
      <c r="W218" s="208"/>
      <c r="X218" s="208"/>
      <c r="Y218" s="208"/>
      <c r="Z218" s="208"/>
      <c r="AA218" s="208"/>
      <c r="AB218" s="208"/>
      <c r="AC218" s="208"/>
      <c r="AD218" s="208"/>
      <c r="AE218" s="208"/>
      <c r="AF218" s="45"/>
      <c r="AK218"/>
      <c r="AL218"/>
      <c r="AM218"/>
      <c r="AN218"/>
      <c r="AO218"/>
      <c r="AP218"/>
      <c r="AQ218"/>
      <c r="AR218"/>
      <c r="AS218"/>
      <c r="AT218"/>
      <c r="AU218"/>
    </row>
    <row r="219" spans="1:47">
      <c r="A219" s="206"/>
      <c r="B219" s="206"/>
      <c r="C219" s="206"/>
      <c r="D219" s="206"/>
      <c r="E219" s="206"/>
      <c r="F219" s="206"/>
      <c r="G219" s="206"/>
      <c r="H219" s="206"/>
      <c r="I219" s="206"/>
      <c r="J219" s="206"/>
      <c r="K219" s="206"/>
      <c r="L219" s="206"/>
      <c r="M219" s="206"/>
      <c r="N219" s="208"/>
      <c r="O219" s="208"/>
      <c r="P219" s="208"/>
      <c r="Q219" s="208"/>
      <c r="R219" s="208"/>
      <c r="S219" s="208"/>
      <c r="T219" s="208"/>
      <c r="U219" s="208"/>
      <c r="V219" s="208"/>
      <c r="W219" s="208"/>
      <c r="X219" s="208"/>
      <c r="Y219" s="208"/>
      <c r="Z219" s="208"/>
      <c r="AA219" s="208"/>
      <c r="AB219" s="208"/>
      <c r="AC219" s="208"/>
      <c r="AD219" s="208"/>
      <c r="AE219" s="208"/>
      <c r="AF219" s="45"/>
      <c r="AK219"/>
      <c r="AL219"/>
      <c r="AM219"/>
      <c r="AN219"/>
      <c r="AO219"/>
      <c r="AP219"/>
      <c r="AQ219"/>
      <c r="AR219"/>
      <c r="AS219"/>
      <c r="AT219"/>
      <c r="AU219"/>
    </row>
    <row r="220" spans="1:47">
      <c r="A220" s="206"/>
      <c r="B220" s="206"/>
      <c r="C220" s="206"/>
      <c r="D220" s="206"/>
      <c r="E220" s="206"/>
      <c r="F220" s="206"/>
      <c r="G220" s="206"/>
      <c r="H220" s="206"/>
      <c r="I220" s="206"/>
      <c r="J220" s="206"/>
      <c r="K220" s="206"/>
      <c r="L220" s="206"/>
      <c r="M220" s="206"/>
      <c r="N220" s="208"/>
      <c r="O220" s="208"/>
      <c r="P220" s="208"/>
      <c r="Q220" s="208"/>
      <c r="R220" s="208"/>
      <c r="S220" s="208"/>
      <c r="T220" s="208"/>
      <c r="U220" s="208"/>
      <c r="V220" s="208"/>
      <c r="W220" s="208"/>
      <c r="X220" s="208"/>
      <c r="Y220" s="208"/>
      <c r="Z220" s="208"/>
      <c r="AA220" s="208"/>
      <c r="AB220" s="208"/>
      <c r="AC220" s="208"/>
      <c r="AD220" s="208"/>
      <c r="AE220" s="208"/>
      <c r="AF220" s="45"/>
      <c r="AK220"/>
      <c r="AL220"/>
      <c r="AM220"/>
      <c r="AN220"/>
      <c r="AO220"/>
      <c r="AP220"/>
      <c r="AQ220"/>
      <c r="AR220"/>
      <c r="AS220"/>
      <c r="AT220"/>
      <c r="AU220"/>
    </row>
    <row r="221" spans="1:47">
      <c r="A221" s="206"/>
      <c r="B221" s="206"/>
      <c r="C221" s="206"/>
      <c r="D221" s="206"/>
      <c r="E221" s="206"/>
      <c r="F221" s="206"/>
      <c r="G221" s="206"/>
      <c r="H221" s="206"/>
      <c r="I221" s="206"/>
      <c r="J221" s="206"/>
      <c r="K221" s="206"/>
      <c r="L221" s="206"/>
      <c r="M221" s="206"/>
      <c r="N221" s="208"/>
      <c r="O221" s="208"/>
      <c r="P221" s="208"/>
      <c r="Q221" s="208"/>
      <c r="R221" s="208"/>
      <c r="S221" s="208"/>
      <c r="T221" s="208"/>
      <c r="U221" s="208"/>
      <c r="V221" s="208"/>
      <c r="W221" s="208"/>
      <c r="X221" s="208"/>
      <c r="Y221" s="208"/>
      <c r="Z221" s="208"/>
      <c r="AA221" s="208"/>
      <c r="AB221" s="208"/>
      <c r="AC221" s="208"/>
      <c r="AD221" s="208"/>
      <c r="AE221" s="208"/>
      <c r="AF221" s="45"/>
      <c r="AK221"/>
      <c r="AL221"/>
      <c r="AM221"/>
      <c r="AN221"/>
      <c r="AO221"/>
      <c r="AP221"/>
      <c r="AQ221"/>
      <c r="AR221"/>
      <c r="AS221"/>
      <c r="AT221"/>
      <c r="AU221"/>
    </row>
    <row r="222" spans="1:47">
      <c r="A222" s="206"/>
      <c r="B222" s="206"/>
      <c r="C222" s="206"/>
      <c r="D222" s="206"/>
      <c r="E222" s="206"/>
      <c r="F222" s="206"/>
      <c r="G222" s="206"/>
      <c r="H222" s="206"/>
      <c r="I222" s="206"/>
      <c r="J222" s="206"/>
      <c r="K222" s="206"/>
      <c r="L222" s="206"/>
      <c r="M222" s="206"/>
      <c r="N222" s="208"/>
      <c r="O222" s="208"/>
      <c r="P222" s="208"/>
      <c r="Q222" s="208"/>
      <c r="R222" s="208"/>
      <c r="S222" s="208"/>
      <c r="T222" s="208"/>
      <c r="U222" s="208"/>
      <c r="V222" s="208"/>
      <c r="W222" s="208"/>
      <c r="X222" s="208"/>
      <c r="Y222" s="208"/>
      <c r="Z222" s="208"/>
      <c r="AA222" s="208"/>
      <c r="AB222" s="208"/>
      <c r="AC222" s="208"/>
      <c r="AD222" s="208"/>
      <c r="AE222" s="208"/>
      <c r="AF222" s="45"/>
      <c r="AK222"/>
      <c r="AL222"/>
      <c r="AM222"/>
      <c r="AN222"/>
      <c r="AO222"/>
      <c r="AP222"/>
      <c r="AQ222"/>
      <c r="AR222"/>
      <c r="AS222"/>
      <c r="AT222"/>
      <c r="AU222"/>
    </row>
    <row r="223" spans="1:47">
      <c r="A223" s="206"/>
      <c r="B223" s="206"/>
      <c r="C223" s="206"/>
      <c r="D223" s="206"/>
      <c r="E223" s="206"/>
      <c r="F223" s="206"/>
      <c r="G223" s="206"/>
      <c r="H223" s="206"/>
      <c r="I223" s="206"/>
      <c r="J223" s="206"/>
      <c r="K223" s="206"/>
      <c r="L223" s="206"/>
      <c r="M223" s="206"/>
      <c r="N223" s="208"/>
      <c r="O223" s="208"/>
      <c r="P223" s="208"/>
      <c r="Q223" s="208"/>
      <c r="R223" s="208"/>
      <c r="S223" s="208"/>
      <c r="T223" s="208"/>
      <c r="U223" s="208"/>
      <c r="V223" s="208"/>
      <c r="W223" s="208"/>
      <c r="X223" s="208"/>
      <c r="Y223" s="208"/>
      <c r="Z223" s="208"/>
      <c r="AA223" s="208"/>
      <c r="AB223" s="208"/>
      <c r="AC223" s="208"/>
      <c r="AD223" s="208"/>
      <c r="AE223" s="208"/>
      <c r="AF223" s="45"/>
      <c r="AK223"/>
      <c r="AL223"/>
      <c r="AM223"/>
      <c r="AN223"/>
      <c r="AO223"/>
      <c r="AP223"/>
      <c r="AQ223"/>
      <c r="AR223"/>
      <c r="AS223"/>
      <c r="AT223"/>
      <c r="AU223"/>
    </row>
    <row r="224" spans="1:47">
      <c r="A224" s="206"/>
      <c r="B224" s="206"/>
      <c r="C224" s="206"/>
      <c r="D224" s="206"/>
      <c r="E224" s="206"/>
      <c r="F224" s="206"/>
      <c r="G224" s="206"/>
      <c r="H224" s="206"/>
      <c r="I224" s="206"/>
      <c r="J224" s="206"/>
      <c r="K224" s="206"/>
      <c r="L224" s="206"/>
      <c r="M224" s="206"/>
      <c r="N224" s="208"/>
      <c r="O224" s="208"/>
      <c r="P224" s="208"/>
      <c r="Q224" s="208"/>
      <c r="R224" s="208"/>
      <c r="S224" s="208"/>
      <c r="T224" s="208"/>
      <c r="U224" s="208"/>
      <c r="V224" s="208"/>
      <c r="W224" s="208"/>
      <c r="X224" s="208"/>
      <c r="Y224" s="208"/>
      <c r="Z224" s="208"/>
      <c r="AA224" s="208"/>
      <c r="AB224" s="208"/>
      <c r="AC224" s="208"/>
      <c r="AD224" s="208"/>
      <c r="AE224" s="208"/>
      <c r="AF224" s="45"/>
      <c r="AK224"/>
      <c r="AL224"/>
      <c r="AM224"/>
      <c r="AN224"/>
      <c r="AO224"/>
      <c r="AP224"/>
      <c r="AQ224"/>
      <c r="AR224"/>
      <c r="AS224"/>
      <c r="AT224"/>
      <c r="AU224"/>
    </row>
    <row r="225" spans="1:47">
      <c r="A225" s="206"/>
      <c r="B225" s="206"/>
      <c r="C225" s="206"/>
      <c r="D225" s="206"/>
      <c r="E225" s="206"/>
      <c r="F225" s="206"/>
      <c r="G225" s="206"/>
      <c r="H225" s="206"/>
      <c r="I225" s="206"/>
      <c r="J225" s="206"/>
      <c r="K225" s="206"/>
      <c r="L225" s="206"/>
      <c r="M225" s="206"/>
      <c r="N225" s="208"/>
      <c r="O225" s="208"/>
      <c r="P225" s="208"/>
      <c r="Q225" s="208"/>
      <c r="R225" s="208"/>
      <c r="S225" s="208"/>
      <c r="T225" s="208"/>
      <c r="U225" s="208"/>
      <c r="V225" s="208"/>
      <c r="W225" s="208"/>
      <c r="X225" s="208"/>
      <c r="Y225" s="208"/>
      <c r="Z225" s="208"/>
      <c r="AA225" s="208"/>
      <c r="AB225" s="208"/>
      <c r="AC225" s="208"/>
      <c r="AD225" s="208"/>
      <c r="AE225" s="208"/>
      <c r="AF225" s="45"/>
      <c r="AK225"/>
      <c r="AL225"/>
      <c r="AM225"/>
      <c r="AN225"/>
      <c r="AO225"/>
      <c r="AP225"/>
      <c r="AQ225"/>
      <c r="AR225"/>
      <c r="AS225"/>
      <c r="AT225"/>
      <c r="AU225"/>
    </row>
    <row r="226" spans="1:47">
      <c r="A226" s="206"/>
      <c r="B226" s="206"/>
      <c r="C226" s="206"/>
      <c r="D226" s="206"/>
      <c r="E226" s="206"/>
      <c r="F226" s="206"/>
      <c r="G226" s="206"/>
      <c r="H226" s="206"/>
      <c r="I226" s="206"/>
      <c r="J226" s="206"/>
      <c r="K226" s="206"/>
      <c r="L226" s="206"/>
      <c r="M226" s="206"/>
      <c r="N226" s="208"/>
      <c r="O226" s="208"/>
      <c r="P226" s="208"/>
      <c r="Q226" s="208"/>
      <c r="R226" s="208"/>
      <c r="S226" s="208"/>
      <c r="T226" s="208"/>
      <c r="U226" s="208"/>
      <c r="V226" s="208"/>
      <c r="W226" s="208"/>
      <c r="X226" s="208"/>
      <c r="Y226" s="208"/>
      <c r="Z226" s="208"/>
      <c r="AA226" s="208"/>
      <c r="AB226" s="208"/>
      <c r="AC226" s="208"/>
      <c r="AD226" s="208"/>
      <c r="AE226" s="208"/>
      <c r="AF226" s="45"/>
      <c r="AK226"/>
      <c r="AL226"/>
      <c r="AM226"/>
      <c r="AN226"/>
      <c r="AO226"/>
      <c r="AP226"/>
      <c r="AQ226"/>
      <c r="AR226"/>
      <c r="AS226"/>
      <c r="AT226"/>
      <c r="AU226"/>
    </row>
    <row r="227" spans="1:47">
      <c r="A227" s="206"/>
      <c r="B227" s="206"/>
      <c r="C227" s="206"/>
      <c r="D227" s="206"/>
      <c r="E227" s="206"/>
      <c r="F227" s="206"/>
      <c r="G227" s="206"/>
      <c r="H227" s="206"/>
      <c r="I227" s="206"/>
      <c r="J227" s="206"/>
      <c r="K227" s="206"/>
      <c r="L227" s="206"/>
      <c r="M227" s="206"/>
      <c r="N227" s="208"/>
      <c r="O227" s="208"/>
      <c r="P227" s="208"/>
      <c r="Q227" s="208"/>
      <c r="R227" s="208"/>
      <c r="S227" s="208"/>
      <c r="T227" s="208"/>
      <c r="U227" s="208"/>
      <c r="V227" s="208"/>
      <c r="W227" s="208"/>
      <c r="X227" s="208"/>
      <c r="Y227" s="208"/>
      <c r="Z227" s="208"/>
      <c r="AA227" s="208"/>
      <c r="AB227" s="208"/>
      <c r="AC227" s="208"/>
      <c r="AD227" s="208"/>
      <c r="AE227" s="208"/>
      <c r="AF227" s="45"/>
      <c r="AK227"/>
      <c r="AL227"/>
      <c r="AM227"/>
      <c r="AN227"/>
      <c r="AO227"/>
      <c r="AP227"/>
      <c r="AQ227"/>
      <c r="AR227"/>
      <c r="AS227"/>
      <c r="AT227"/>
      <c r="AU227"/>
    </row>
    <row r="228" spans="1:47">
      <c r="A228" s="206"/>
      <c r="B228" s="206"/>
      <c r="C228" s="206"/>
      <c r="D228" s="206"/>
      <c r="E228" s="206"/>
      <c r="F228" s="206"/>
      <c r="G228" s="206"/>
      <c r="H228" s="206"/>
      <c r="I228" s="206"/>
      <c r="J228" s="206"/>
      <c r="K228" s="206"/>
      <c r="L228" s="206"/>
      <c r="M228" s="206"/>
      <c r="N228" s="208"/>
      <c r="O228" s="208"/>
      <c r="P228" s="208"/>
      <c r="Q228" s="208"/>
      <c r="R228" s="208"/>
      <c r="S228" s="208"/>
      <c r="T228" s="208"/>
      <c r="U228" s="208"/>
      <c r="V228" s="208"/>
      <c r="W228" s="208"/>
      <c r="X228" s="208"/>
      <c r="Y228" s="208"/>
      <c r="Z228" s="208"/>
      <c r="AA228" s="208"/>
      <c r="AB228" s="208"/>
      <c r="AC228" s="208"/>
      <c r="AD228" s="208"/>
      <c r="AE228" s="208"/>
      <c r="AF228" s="45"/>
      <c r="AK228"/>
      <c r="AL228"/>
      <c r="AM228"/>
      <c r="AN228"/>
      <c r="AO228"/>
      <c r="AP228"/>
      <c r="AQ228"/>
      <c r="AR228"/>
      <c r="AS228"/>
      <c r="AT228"/>
      <c r="AU228"/>
    </row>
    <row r="229" spans="1:47">
      <c r="A229" s="206"/>
      <c r="B229" s="206"/>
      <c r="C229" s="206"/>
      <c r="D229" s="206"/>
      <c r="E229" s="206"/>
      <c r="F229" s="206"/>
      <c r="G229" s="206"/>
      <c r="H229" s="206"/>
      <c r="I229" s="206"/>
      <c r="J229" s="206"/>
      <c r="K229" s="206"/>
      <c r="L229" s="206"/>
      <c r="M229" s="206"/>
      <c r="N229" s="208"/>
      <c r="O229" s="208"/>
      <c r="P229" s="208"/>
      <c r="Q229" s="208"/>
      <c r="R229" s="208"/>
      <c r="S229" s="208"/>
      <c r="T229" s="208"/>
      <c r="U229" s="208"/>
      <c r="V229" s="208"/>
      <c r="W229" s="208"/>
      <c r="X229" s="208"/>
      <c r="Y229" s="208"/>
      <c r="Z229" s="208"/>
      <c r="AA229" s="208"/>
      <c r="AB229" s="208"/>
      <c r="AC229" s="208"/>
      <c r="AD229" s="208"/>
      <c r="AE229" s="208"/>
      <c r="AF229" s="45"/>
      <c r="AK229"/>
      <c r="AL229"/>
      <c r="AM229"/>
      <c r="AN229"/>
      <c r="AO229"/>
      <c r="AP229"/>
      <c r="AQ229"/>
      <c r="AR229"/>
      <c r="AS229"/>
      <c r="AT229"/>
      <c r="AU229"/>
    </row>
    <row r="230" spans="1:47">
      <c r="A230" s="206"/>
      <c r="B230" s="206"/>
      <c r="C230" s="206"/>
      <c r="D230" s="206"/>
      <c r="E230" s="206"/>
      <c r="F230" s="206"/>
      <c r="G230" s="206"/>
      <c r="H230" s="206"/>
      <c r="I230" s="206"/>
      <c r="J230" s="206"/>
      <c r="K230" s="206"/>
      <c r="L230" s="206"/>
      <c r="M230" s="206"/>
      <c r="N230" s="208"/>
      <c r="O230" s="208"/>
      <c r="P230" s="208"/>
      <c r="Q230" s="208"/>
      <c r="R230" s="208"/>
      <c r="S230" s="208"/>
      <c r="T230" s="208"/>
      <c r="U230" s="208"/>
      <c r="V230" s="208"/>
      <c r="W230" s="208"/>
      <c r="X230" s="208"/>
      <c r="Y230" s="208"/>
      <c r="Z230" s="208"/>
      <c r="AA230" s="208"/>
      <c r="AB230" s="208"/>
      <c r="AC230" s="208"/>
      <c r="AD230" s="208"/>
      <c r="AE230" s="208"/>
      <c r="AF230" s="45"/>
      <c r="AK230"/>
      <c r="AL230"/>
      <c r="AM230"/>
      <c r="AN230"/>
      <c r="AO230"/>
      <c r="AP230"/>
      <c r="AQ230"/>
      <c r="AR230"/>
      <c r="AS230"/>
      <c r="AT230"/>
      <c r="AU230"/>
    </row>
    <row r="231" spans="1:47">
      <c r="A231" s="206"/>
      <c r="B231" s="206"/>
      <c r="C231" s="206"/>
      <c r="D231" s="206"/>
      <c r="E231" s="206"/>
      <c r="F231" s="206"/>
      <c r="G231" s="206"/>
      <c r="H231" s="206"/>
      <c r="I231" s="206"/>
      <c r="J231" s="206"/>
      <c r="K231" s="206"/>
      <c r="L231" s="206"/>
      <c r="M231" s="206"/>
      <c r="N231" s="208"/>
      <c r="O231" s="208"/>
      <c r="P231" s="208"/>
      <c r="Q231" s="208"/>
      <c r="R231" s="208"/>
      <c r="S231" s="208"/>
      <c r="T231" s="208"/>
      <c r="U231" s="208"/>
      <c r="V231" s="208"/>
      <c r="W231" s="208"/>
      <c r="X231" s="208"/>
      <c r="Y231" s="208"/>
      <c r="Z231" s="208"/>
      <c r="AA231" s="208"/>
      <c r="AB231" s="208"/>
      <c r="AC231" s="208"/>
      <c r="AD231" s="208"/>
      <c r="AE231" s="208"/>
      <c r="AF231" s="45"/>
      <c r="AK231"/>
      <c r="AL231"/>
      <c r="AM231"/>
      <c r="AN231"/>
      <c r="AO231"/>
      <c r="AP231"/>
      <c r="AQ231"/>
      <c r="AR231"/>
      <c r="AS231"/>
      <c r="AT231"/>
      <c r="AU231"/>
    </row>
    <row r="232" spans="1:47">
      <c r="A232" s="206"/>
      <c r="B232" s="206"/>
      <c r="C232" s="206"/>
      <c r="D232" s="206"/>
      <c r="E232" s="206"/>
      <c r="F232" s="206"/>
      <c r="G232" s="206"/>
      <c r="H232" s="206"/>
      <c r="I232" s="206"/>
      <c r="J232" s="206"/>
      <c r="K232" s="206"/>
      <c r="L232" s="206"/>
      <c r="M232" s="206"/>
      <c r="N232" s="208"/>
      <c r="O232" s="208"/>
      <c r="P232" s="208"/>
      <c r="Q232" s="208"/>
      <c r="R232" s="208"/>
      <c r="S232" s="208"/>
      <c r="T232" s="208"/>
      <c r="U232" s="208"/>
      <c r="V232" s="208"/>
      <c r="W232" s="208"/>
      <c r="X232" s="208"/>
      <c r="Y232" s="208"/>
      <c r="Z232" s="208"/>
      <c r="AA232" s="208"/>
      <c r="AB232" s="208"/>
      <c r="AC232" s="208"/>
      <c r="AD232" s="208"/>
      <c r="AE232" s="208"/>
      <c r="AF232" s="45"/>
      <c r="AK232"/>
      <c r="AL232"/>
      <c r="AM232"/>
      <c r="AN232"/>
      <c r="AO232"/>
      <c r="AP232"/>
      <c r="AQ232"/>
      <c r="AR232"/>
      <c r="AS232"/>
      <c r="AT232"/>
      <c r="AU232"/>
    </row>
    <row r="233" spans="1:47">
      <c r="A233" s="206"/>
      <c r="B233" s="206"/>
      <c r="C233" s="206"/>
      <c r="D233" s="206"/>
      <c r="E233" s="206"/>
      <c r="F233" s="206"/>
      <c r="G233" s="206"/>
      <c r="H233" s="206"/>
      <c r="I233" s="206"/>
      <c r="J233" s="206"/>
      <c r="K233" s="206"/>
      <c r="L233" s="206"/>
      <c r="M233" s="206"/>
      <c r="N233" s="208"/>
      <c r="O233" s="208"/>
      <c r="P233" s="208"/>
      <c r="Q233" s="208"/>
      <c r="R233" s="208"/>
      <c r="S233" s="208"/>
      <c r="T233" s="208"/>
      <c r="U233" s="208"/>
      <c r="V233" s="208"/>
      <c r="W233" s="208"/>
      <c r="X233" s="208"/>
      <c r="Y233" s="208"/>
      <c r="Z233" s="208"/>
      <c r="AA233" s="208"/>
      <c r="AB233" s="208"/>
      <c r="AC233" s="208"/>
      <c r="AD233" s="208"/>
      <c r="AE233" s="208"/>
      <c r="AF233" s="45"/>
      <c r="AK233"/>
      <c r="AL233"/>
      <c r="AM233"/>
      <c r="AN233"/>
      <c r="AO233"/>
      <c r="AP233"/>
      <c r="AQ233"/>
      <c r="AR233"/>
      <c r="AS233"/>
      <c r="AT233"/>
      <c r="AU233"/>
    </row>
    <row r="234" spans="1:47">
      <c r="A234" s="206"/>
      <c r="B234" s="206"/>
      <c r="C234" s="206"/>
      <c r="D234" s="206"/>
      <c r="E234" s="206"/>
      <c r="F234" s="206"/>
      <c r="G234" s="206"/>
      <c r="H234" s="206"/>
      <c r="I234" s="206"/>
      <c r="J234" s="206"/>
      <c r="K234" s="206"/>
      <c r="L234" s="206"/>
      <c r="M234" s="206"/>
      <c r="N234" s="208"/>
      <c r="O234" s="208"/>
      <c r="P234" s="208"/>
      <c r="Q234" s="208"/>
      <c r="R234" s="208"/>
      <c r="S234" s="208"/>
      <c r="T234" s="208"/>
      <c r="U234" s="208"/>
      <c r="V234" s="208"/>
      <c r="W234" s="208"/>
      <c r="X234" s="208"/>
      <c r="Y234" s="208"/>
      <c r="Z234" s="208"/>
      <c r="AA234" s="208"/>
      <c r="AB234" s="208"/>
      <c r="AC234" s="208"/>
      <c r="AD234" s="208"/>
      <c r="AE234" s="208"/>
      <c r="AF234" s="45"/>
      <c r="AK234"/>
      <c r="AL234"/>
      <c r="AM234"/>
      <c r="AN234"/>
      <c r="AO234"/>
      <c r="AP234"/>
      <c r="AQ234"/>
      <c r="AR234"/>
      <c r="AS234"/>
      <c r="AT234"/>
      <c r="AU234"/>
    </row>
    <row r="235" spans="1:47">
      <c r="A235" s="206"/>
      <c r="B235" s="206"/>
      <c r="C235" s="206"/>
      <c r="D235" s="206"/>
      <c r="E235" s="206"/>
      <c r="F235" s="206"/>
      <c r="G235" s="206"/>
      <c r="H235" s="206"/>
      <c r="I235" s="206"/>
      <c r="J235" s="206"/>
      <c r="K235" s="206"/>
      <c r="L235" s="206"/>
      <c r="M235" s="206"/>
      <c r="N235" s="208"/>
      <c r="O235" s="208"/>
      <c r="P235" s="208"/>
      <c r="Q235" s="208"/>
      <c r="R235" s="208"/>
      <c r="S235" s="208"/>
      <c r="T235" s="208"/>
      <c r="U235" s="208"/>
      <c r="V235" s="208"/>
      <c r="W235" s="208"/>
      <c r="X235" s="208"/>
      <c r="Y235" s="208"/>
      <c r="Z235" s="208"/>
      <c r="AA235" s="208"/>
      <c r="AB235" s="208"/>
      <c r="AC235" s="208"/>
      <c r="AD235" s="208"/>
      <c r="AE235" s="208"/>
      <c r="AF235" s="45"/>
      <c r="AK235"/>
      <c r="AL235"/>
      <c r="AM235"/>
      <c r="AN235"/>
      <c r="AO235"/>
      <c r="AP235"/>
      <c r="AQ235"/>
      <c r="AR235"/>
      <c r="AS235"/>
      <c r="AT235"/>
      <c r="AU235"/>
    </row>
    <row r="236" spans="1:47">
      <c r="A236" s="206"/>
      <c r="B236" s="206"/>
      <c r="C236" s="206"/>
      <c r="D236" s="206"/>
      <c r="E236" s="206"/>
      <c r="F236" s="206"/>
      <c r="G236" s="206"/>
      <c r="H236" s="206"/>
      <c r="I236" s="206"/>
      <c r="J236" s="206"/>
      <c r="K236" s="206"/>
      <c r="L236" s="206"/>
      <c r="M236" s="206"/>
      <c r="N236" s="208"/>
      <c r="O236" s="208"/>
      <c r="P236" s="208"/>
      <c r="Q236" s="208"/>
      <c r="R236" s="208"/>
      <c r="S236" s="208"/>
      <c r="T236" s="208"/>
      <c r="U236" s="208"/>
      <c r="V236" s="208"/>
      <c r="W236" s="208"/>
      <c r="X236" s="208"/>
      <c r="Y236" s="208"/>
      <c r="Z236" s="208"/>
      <c r="AA236" s="208"/>
      <c r="AB236" s="208"/>
      <c r="AC236" s="208"/>
      <c r="AD236" s="208"/>
      <c r="AE236" s="208"/>
      <c r="AF236" s="45"/>
      <c r="AK236"/>
      <c r="AL236"/>
      <c r="AM236"/>
      <c r="AN236"/>
      <c r="AO236"/>
      <c r="AP236"/>
      <c r="AQ236"/>
      <c r="AR236"/>
      <c r="AS236"/>
      <c r="AT236"/>
      <c r="AU236"/>
    </row>
    <row r="237" spans="1:47">
      <c r="A237" s="206"/>
      <c r="B237" s="206"/>
      <c r="C237" s="206"/>
      <c r="D237" s="206"/>
      <c r="E237" s="206"/>
      <c r="F237" s="206"/>
      <c r="G237" s="206"/>
      <c r="H237" s="206"/>
      <c r="I237" s="206"/>
      <c r="J237" s="206"/>
      <c r="K237" s="206"/>
      <c r="L237" s="206"/>
      <c r="M237" s="206"/>
      <c r="N237" s="208"/>
      <c r="O237" s="208"/>
      <c r="P237" s="208"/>
      <c r="Q237" s="208"/>
      <c r="R237" s="208"/>
      <c r="S237" s="208"/>
      <c r="T237" s="208"/>
      <c r="U237" s="208"/>
      <c r="V237" s="208"/>
      <c r="W237" s="208"/>
      <c r="X237" s="208"/>
      <c r="Y237" s="208"/>
      <c r="Z237" s="208"/>
      <c r="AA237" s="208"/>
      <c r="AB237" s="208"/>
      <c r="AC237" s="208"/>
      <c r="AD237" s="208"/>
      <c r="AE237" s="208"/>
      <c r="AF237" s="45"/>
      <c r="AK237"/>
      <c r="AL237"/>
      <c r="AM237"/>
      <c r="AN237"/>
      <c r="AO237"/>
      <c r="AP237"/>
      <c r="AQ237"/>
      <c r="AR237"/>
      <c r="AS237"/>
      <c r="AT237"/>
      <c r="AU237"/>
    </row>
    <row r="238" spans="1:47">
      <c r="A238" s="206"/>
      <c r="B238" s="206"/>
      <c r="C238" s="206"/>
      <c r="D238" s="206"/>
      <c r="E238" s="206"/>
      <c r="F238" s="206"/>
      <c r="G238" s="206"/>
      <c r="H238" s="206"/>
      <c r="I238" s="206"/>
      <c r="J238" s="206"/>
      <c r="K238" s="206"/>
      <c r="L238" s="206"/>
      <c r="M238" s="206"/>
      <c r="N238" s="208"/>
      <c r="O238" s="208"/>
      <c r="P238" s="208"/>
      <c r="Q238" s="208"/>
      <c r="R238" s="208"/>
      <c r="S238" s="208"/>
      <c r="T238" s="208"/>
      <c r="U238" s="208"/>
      <c r="V238" s="208"/>
      <c r="W238" s="208"/>
      <c r="X238" s="208"/>
      <c r="Y238" s="208"/>
      <c r="Z238" s="208"/>
      <c r="AA238" s="208"/>
      <c r="AB238" s="208"/>
      <c r="AC238" s="208"/>
      <c r="AD238" s="208"/>
      <c r="AE238" s="208"/>
      <c r="AF238" s="45"/>
      <c r="AK238"/>
      <c r="AL238"/>
      <c r="AM238"/>
      <c r="AN238"/>
      <c r="AO238"/>
      <c r="AP238"/>
      <c r="AQ238"/>
      <c r="AR238"/>
      <c r="AS238"/>
      <c r="AT238"/>
      <c r="AU238"/>
    </row>
    <row r="239" spans="1:47">
      <c r="A239" s="206"/>
      <c r="B239" s="206"/>
      <c r="C239" s="206"/>
      <c r="D239" s="206"/>
      <c r="E239" s="206"/>
      <c r="F239" s="206"/>
      <c r="G239" s="206"/>
      <c r="H239" s="206"/>
      <c r="I239" s="206"/>
      <c r="J239" s="206"/>
      <c r="K239" s="206"/>
      <c r="L239" s="206"/>
      <c r="M239" s="206"/>
      <c r="N239" s="208"/>
      <c r="O239" s="208"/>
      <c r="P239" s="208"/>
      <c r="Q239" s="208"/>
      <c r="R239" s="208"/>
      <c r="S239" s="208"/>
      <c r="T239" s="208"/>
      <c r="U239" s="208"/>
      <c r="V239" s="208"/>
      <c r="W239" s="208"/>
      <c r="X239" s="208"/>
      <c r="Y239" s="208"/>
      <c r="Z239" s="208"/>
      <c r="AA239" s="208"/>
      <c r="AB239" s="208"/>
      <c r="AC239" s="208"/>
      <c r="AD239" s="208"/>
      <c r="AE239" s="208"/>
      <c r="AF239" s="45"/>
      <c r="AK239"/>
      <c r="AL239"/>
      <c r="AM239"/>
      <c r="AN239"/>
      <c r="AO239"/>
      <c r="AP239"/>
      <c r="AQ239"/>
      <c r="AR239"/>
      <c r="AS239"/>
      <c r="AT239"/>
      <c r="AU239"/>
    </row>
    <row r="240" spans="1:47">
      <c r="A240" s="206"/>
      <c r="B240" s="206"/>
      <c r="C240" s="206"/>
      <c r="D240" s="206"/>
      <c r="E240" s="206"/>
      <c r="F240" s="206"/>
      <c r="G240" s="206"/>
      <c r="H240" s="206"/>
      <c r="I240" s="206"/>
      <c r="J240" s="206"/>
      <c r="K240" s="206"/>
      <c r="L240" s="206"/>
      <c r="M240" s="206"/>
      <c r="N240" s="208"/>
      <c r="O240" s="208"/>
      <c r="P240" s="208"/>
      <c r="Q240" s="208"/>
      <c r="R240" s="208"/>
      <c r="S240" s="208"/>
      <c r="T240" s="208"/>
      <c r="U240" s="208"/>
      <c r="V240" s="208"/>
      <c r="W240" s="208"/>
      <c r="X240" s="208"/>
      <c r="Y240" s="208"/>
      <c r="Z240" s="208"/>
      <c r="AA240" s="208"/>
      <c r="AB240" s="208"/>
      <c r="AC240" s="208"/>
      <c r="AD240" s="208"/>
      <c r="AE240" s="208"/>
      <c r="AF240" s="45"/>
      <c r="AK240"/>
      <c r="AL240"/>
      <c r="AM240"/>
      <c r="AN240"/>
      <c r="AO240"/>
      <c r="AP240"/>
      <c r="AQ240"/>
      <c r="AR240"/>
      <c r="AS240"/>
      <c r="AT240"/>
      <c r="AU240"/>
    </row>
    <row r="241" spans="1:47">
      <c r="A241" s="206"/>
      <c r="B241" s="206"/>
      <c r="C241" s="206"/>
      <c r="D241" s="206"/>
      <c r="E241" s="206"/>
      <c r="F241" s="206"/>
      <c r="G241" s="206"/>
      <c r="H241" s="206"/>
      <c r="I241" s="206"/>
      <c r="J241" s="206"/>
      <c r="K241" s="206"/>
      <c r="L241" s="206"/>
      <c r="M241" s="206"/>
      <c r="N241" s="208"/>
      <c r="O241" s="208"/>
      <c r="P241" s="208"/>
      <c r="Q241" s="208"/>
      <c r="R241" s="208"/>
      <c r="S241" s="208"/>
      <c r="T241" s="208"/>
      <c r="U241" s="208"/>
      <c r="V241" s="208"/>
      <c r="W241" s="208"/>
      <c r="X241" s="208"/>
      <c r="Y241" s="208"/>
      <c r="Z241" s="208"/>
      <c r="AA241" s="208"/>
      <c r="AB241" s="208"/>
      <c r="AC241" s="208"/>
      <c r="AD241" s="208"/>
      <c r="AE241" s="208"/>
      <c r="AF241" s="45"/>
      <c r="AK241"/>
      <c r="AL241"/>
      <c r="AM241"/>
      <c r="AN241"/>
      <c r="AO241"/>
      <c r="AP241"/>
      <c r="AQ241"/>
      <c r="AR241"/>
      <c r="AS241"/>
      <c r="AT241"/>
      <c r="AU241"/>
    </row>
    <row r="242" spans="1:47">
      <c r="A242" s="206"/>
      <c r="B242" s="206"/>
      <c r="C242" s="206"/>
      <c r="D242" s="206"/>
      <c r="E242" s="206"/>
      <c r="F242" s="206"/>
      <c r="G242" s="206"/>
      <c r="H242" s="206"/>
      <c r="I242" s="206"/>
      <c r="J242" s="206"/>
      <c r="K242" s="206"/>
      <c r="L242" s="206"/>
      <c r="M242" s="206"/>
      <c r="N242" s="208"/>
      <c r="O242" s="208"/>
      <c r="P242" s="208"/>
      <c r="Q242" s="208"/>
      <c r="R242" s="208"/>
      <c r="S242" s="208"/>
      <c r="T242" s="208"/>
      <c r="U242" s="208"/>
      <c r="V242" s="208"/>
      <c r="W242" s="208"/>
      <c r="X242" s="208"/>
      <c r="Y242" s="208"/>
      <c r="Z242" s="208"/>
      <c r="AA242" s="208"/>
      <c r="AB242" s="208"/>
      <c r="AC242" s="208"/>
      <c r="AD242" s="208"/>
      <c r="AE242" s="208"/>
      <c r="AF242" s="45"/>
      <c r="AK242"/>
      <c r="AL242"/>
      <c r="AM242"/>
      <c r="AN242"/>
      <c r="AO242"/>
      <c r="AP242"/>
      <c r="AQ242"/>
      <c r="AR242"/>
      <c r="AS242"/>
      <c r="AT242"/>
      <c r="AU242"/>
    </row>
    <row r="243" spans="1:47">
      <c r="A243" s="206"/>
      <c r="B243" s="206"/>
      <c r="C243" s="206"/>
      <c r="D243" s="206"/>
      <c r="E243" s="206"/>
      <c r="F243" s="206"/>
      <c r="G243" s="206"/>
      <c r="H243" s="206"/>
      <c r="I243" s="206"/>
      <c r="J243" s="206"/>
      <c r="K243" s="206"/>
      <c r="L243" s="206"/>
      <c r="M243" s="206"/>
      <c r="N243" s="208"/>
      <c r="O243" s="208"/>
      <c r="P243" s="208"/>
      <c r="Q243" s="208"/>
      <c r="R243" s="208"/>
      <c r="S243" s="208"/>
      <c r="T243" s="208"/>
      <c r="U243" s="208"/>
      <c r="V243" s="208"/>
      <c r="W243" s="208"/>
      <c r="X243" s="208"/>
      <c r="Y243" s="208"/>
      <c r="Z243" s="208"/>
      <c r="AA243" s="208"/>
      <c r="AB243" s="208"/>
      <c r="AC243" s="208"/>
      <c r="AD243" s="208"/>
      <c r="AE243" s="208"/>
      <c r="AF243" s="45"/>
      <c r="AK243"/>
      <c r="AL243"/>
      <c r="AM243"/>
      <c r="AN243"/>
      <c r="AO243"/>
      <c r="AP243"/>
      <c r="AQ243"/>
      <c r="AR243"/>
      <c r="AS243"/>
      <c r="AT243"/>
      <c r="AU243"/>
    </row>
    <row r="244" spans="1:47">
      <c r="A244" s="206"/>
      <c r="B244" s="206"/>
      <c r="C244" s="206"/>
      <c r="D244" s="206"/>
      <c r="E244" s="206"/>
      <c r="F244" s="206"/>
      <c r="G244" s="206"/>
      <c r="H244" s="206"/>
      <c r="I244" s="206"/>
      <c r="J244" s="206"/>
      <c r="K244" s="206"/>
      <c r="L244" s="206"/>
      <c r="M244" s="206"/>
      <c r="N244" s="208"/>
      <c r="O244" s="208"/>
      <c r="P244" s="208"/>
      <c r="Q244" s="208"/>
      <c r="R244" s="208"/>
      <c r="S244" s="208"/>
      <c r="T244" s="208"/>
      <c r="U244" s="208"/>
      <c r="V244" s="208"/>
      <c r="W244" s="208"/>
      <c r="X244" s="208"/>
      <c r="Y244" s="208"/>
      <c r="Z244" s="208"/>
      <c r="AA244" s="208"/>
      <c r="AB244" s="208"/>
      <c r="AC244" s="208"/>
      <c r="AD244" s="208"/>
      <c r="AE244" s="208"/>
      <c r="AF244" s="45"/>
      <c r="AK244"/>
      <c r="AL244"/>
      <c r="AM244"/>
      <c r="AN244"/>
      <c r="AO244"/>
      <c r="AP244"/>
      <c r="AQ244"/>
      <c r="AR244"/>
      <c r="AS244"/>
      <c r="AT244"/>
      <c r="AU244"/>
    </row>
    <row r="245" spans="1:47">
      <c r="A245" s="206"/>
      <c r="B245" s="206"/>
      <c r="C245" s="206"/>
      <c r="D245" s="206"/>
      <c r="E245" s="206"/>
      <c r="F245" s="206"/>
      <c r="G245" s="206"/>
      <c r="H245" s="206"/>
      <c r="I245" s="206"/>
      <c r="J245" s="206"/>
      <c r="K245" s="206"/>
      <c r="L245" s="206"/>
      <c r="M245" s="206"/>
      <c r="N245" s="208"/>
      <c r="O245" s="208"/>
      <c r="P245" s="208"/>
      <c r="Q245" s="208"/>
      <c r="R245" s="208"/>
      <c r="S245" s="208"/>
      <c r="T245" s="208"/>
      <c r="U245" s="208"/>
      <c r="V245" s="208"/>
      <c r="W245" s="208"/>
      <c r="X245" s="208"/>
      <c r="Y245" s="208"/>
      <c r="Z245" s="208"/>
      <c r="AA245" s="208"/>
      <c r="AB245" s="208"/>
      <c r="AC245" s="208"/>
      <c r="AD245" s="208"/>
      <c r="AE245" s="208"/>
      <c r="AF245" s="45"/>
      <c r="AK245"/>
      <c r="AL245"/>
      <c r="AM245"/>
      <c r="AN245"/>
      <c r="AO245"/>
      <c r="AP245"/>
      <c r="AQ245"/>
      <c r="AR245"/>
      <c r="AS245"/>
      <c r="AT245"/>
      <c r="AU245"/>
    </row>
    <row r="246" spans="1:47">
      <c r="A246" s="206"/>
      <c r="B246" s="206"/>
      <c r="C246" s="206"/>
      <c r="D246" s="206"/>
      <c r="E246" s="206"/>
      <c r="F246" s="206"/>
      <c r="G246" s="206"/>
      <c r="H246" s="206"/>
      <c r="I246" s="206"/>
      <c r="J246" s="206"/>
      <c r="K246" s="206"/>
      <c r="L246" s="206"/>
      <c r="M246" s="206"/>
      <c r="N246" s="208"/>
      <c r="O246" s="208"/>
      <c r="P246" s="208"/>
      <c r="Q246" s="208"/>
      <c r="R246" s="208"/>
      <c r="S246" s="208"/>
      <c r="T246" s="208"/>
      <c r="U246" s="208"/>
      <c r="V246" s="208"/>
      <c r="W246" s="208"/>
      <c r="X246" s="208"/>
      <c r="Y246" s="208"/>
      <c r="Z246" s="208"/>
      <c r="AA246" s="208"/>
      <c r="AB246" s="208"/>
      <c r="AC246" s="208"/>
      <c r="AD246" s="208"/>
      <c r="AE246" s="208"/>
      <c r="AF246" s="45"/>
      <c r="AK246"/>
      <c r="AL246"/>
      <c r="AM246"/>
      <c r="AN246"/>
      <c r="AO246"/>
      <c r="AP246"/>
      <c r="AQ246"/>
      <c r="AR246"/>
      <c r="AS246"/>
      <c r="AT246"/>
      <c r="AU246"/>
    </row>
    <row r="247" spans="1:47">
      <c r="A247" s="206"/>
      <c r="B247" s="206"/>
      <c r="C247" s="206"/>
      <c r="D247" s="206"/>
      <c r="E247" s="206"/>
      <c r="F247" s="206"/>
      <c r="G247" s="206"/>
      <c r="H247" s="206"/>
      <c r="I247" s="206"/>
      <c r="J247" s="206"/>
      <c r="K247" s="206"/>
      <c r="L247" s="206"/>
      <c r="M247" s="206"/>
      <c r="N247" s="208"/>
      <c r="O247" s="208"/>
      <c r="P247" s="208"/>
      <c r="Q247" s="208"/>
      <c r="R247" s="208"/>
      <c r="S247" s="208"/>
      <c r="T247" s="208"/>
      <c r="U247" s="208"/>
      <c r="V247" s="208"/>
      <c r="W247" s="208"/>
      <c r="X247" s="208"/>
      <c r="Y247" s="208"/>
      <c r="Z247" s="208"/>
      <c r="AA247" s="208"/>
      <c r="AB247" s="208"/>
      <c r="AC247" s="208"/>
      <c r="AD247" s="208"/>
      <c r="AE247" s="208"/>
      <c r="AF247" s="45"/>
      <c r="AK247"/>
      <c r="AL247"/>
      <c r="AM247"/>
      <c r="AN247"/>
      <c r="AO247"/>
      <c r="AP247"/>
      <c r="AQ247"/>
      <c r="AR247"/>
      <c r="AS247"/>
      <c r="AT247"/>
      <c r="AU247"/>
    </row>
    <row r="248" spans="1:47">
      <c r="A248" s="206"/>
      <c r="B248" s="206"/>
      <c r="C248" s="206"/>
      <c r="D248" s="206"/>
      <c r="E248" s="206"/>
      <c r="F248" s="206"/>
      <c r="G248" s="206"/>
      <c r="H248" s="206"/>
      <c r="I248" s="206"/>
      <c r="J248" s="206"/>
      <c r="K248" s="206"/>
      <c r="L248" s="206"/>
      <c r="M248" s="206"/>
      <c r="N248" s="208"/>
      <c r="O248" s="208"/>
      <c r="P248" s="208"/>
      <c r="Q248" s="208"/>
      <c r="R248" s="208"/>
      <c r="S248" s="208"/>
      <c r="T248" s="208"/>
      <c r="U248" s="208"/>
      <c r="V248" s="208"/>
      <c r="W248" s="208"/>
      <c r="X248" s="208"/>
      <c r="Y248" s="208"/>
      <c r="Z248" s="208"/>
      <c r="AA248" s="208"/>
      <c r="AB248" s="208"/>
      <c r="AC248" s="208"/>
      <c r="AD248" s="208"/>
      <c r="AE248" s="208"/>
      <c r="AF248" s="45"/>
      <c r="AK248"/>
      <c r="AL248"/>
      <c r="AM248"/>
      <c r="AN248"/>
      <c r="AO248"/>
      <c r="AP248"/>
      <c r="AQ248"/>
      <c r="AR248"/>
      <c r="AS248"/>
      <c r="AT248"/>
      <c r="AU248"/>
    </row>
    <row r="249" spans="1:47">
      <c r="A249" s="206"/>
      <c r="B249" s="206"/>
      <c r="C249" s="206"/>
      <c r="D249" s="206"/>
      <c r="E249" s="206"/>
      <c r="F249" s="206"/>
      <c r="G249" s="206"/>
      <c r="H249" s="206"/>
      <c r="I249" s="206"/>
      <c r="J249" s="206"/>
      <c r="K249" s="206"/>
      <c r="L249" s="206"/>
      <c r="M249" s="206"/>
      <c r="N249" s="208"/>
      <c r="O249" s="208"/>
      <c r="P249" s="208"/>
      <c r="Q249" s="208"/>
      <c r="R249" s="208"/>
      <c r="S249" s="208"/>
      <c r="T249" s="208"/>
      <c r="U249" s="208"/>
      <c r="V249" s="208"/>
      <c r="W249" s="208"/>
      <c r="X249" s="208"/>
      <c r="Y249" s="208"/>
      <c r="Z249" s="208"/>
      <c r="AA249" s="208"/>
      <c r="AB249" s="208"/>
      <c r="AC249" s="208"/>
      <c r="AD249" s="208"/>
      <c r="AE249" s="208"/>
      <c r="AF249" s="45"/>
      <c r="AK249"/>
      <c r="AL249"/>
      <c r="AM249"/>
      <c r="AN249"/>
      <c r="AO249"/>
      <c r="AP249"/>
      <c r="AQ249"/>
      <c r="AR249"/>
      <c r="AS249"/>
      <c r="AT249"/>
      <c r="AU249"/>
    </row>
    <row r="250" spans="1:47">
      <c r="A250" s="206"/>
      <c r="B250" s="206"/>
      <c r="C250" s="206"/>
      <c r="D250" s="206"/>
      <c r="E250" s="206"/>
      <c r="F250" s="206"/>
      <c r="G250" s="206"/>
      <c r="H250" s="206"/>
      <c r="I250" s="206"/>
      <c r="J250" s="206"/>
      <c r="K250" s="206"/>
      <c r="L250" s="206"/>
      <c r="M250" s="206"/>
      <c r="N250" s="208"/>
      <c r="O250" s="208"/>
      <c r="P250" s="208"/>
      <c r="Q250" s="208"/>
      <c r="R250" s="208"/>
      <c r="S250" s="208"/>
      <c r="T250" s="208"/>
      <c r="U250" s="208"/>
      <c r="V250" s="208"/>
      <c r="W250" s="208"/>
      <c r="X250" s="208"/>
      <c r="Y250" s="208"/>
      <c r="Z250" s="208"/>
      <c r="AA250" s="208"/>
      <c r="AB250" s="208"/>
      <c r="AC250" s="208"/>
      <c r="AD250" s="208"/>
      <c r="AE250" s="208"/>
      <c r="AF250" s="45"/>
      <c r="AK250"/>
      <c r="AL250"/>
      <c r="AM250"/>
      <c r="AN250"/>
      <c r="AO250"/>
      <c r="AP250"/>
      <c r="AQ250"/>
      <c r="AR250"/>
      <c r="AS250"/>
      <c r="AT250"/>
      <c r="AU250"/>
    </row>
    <row r="251" spans="1:47">
      <c r="A251" s="206"/>
      <c r="B251" s="206"/>
      <c r="C251" s="206"/>
      <c r="D251" s="206"/>
      <c r="E251" s="206"/>
      <c r="F251" s="206"/>
      <c r="G251" s="206"/>
      <c r="H251" s="206"/>
      <c r="I251" s="206"/>
      <c r="J251" s="206"/>
      <c r="K251" s="206"/>
      <c r="L251" s="206"/>
      <c r="M251" s="206"/>
      <c r="N251" s="208"/>
      <c r="O251" s="208"/>
      <c r="P251" s="208"/>
      <c r="Q251" s="208"/>
      <c r="R251" s="208"/>
      <c r="S251" s="208"/>
      <c r="T251" s="208"/>
      <c r="U251" s="208"/>
      <c r="V251" s="208"/>
      <c r="W251" s="208"/>
      <c r="X251" s="208"/>
      <c r="Y251" s="208"/>
      <c r="Z251" s="208"/>
      <c r="AA251" s="208"/>
      <c r="AB251" s="208"/>
      <c r="AC251" s="208"/>
      <c r="AD251" s="208"/>
      <c r="AE251" s="208"/>
      <c r="AF251" s="45"/>
      <c r="AK251"/>
      <c r="AL251"/>
      <c r="AM251"/>
      <c r="AN251"/>
      <c r="AO251"/>
      <c r="AP251"/>
      <c r="AQ251"/>
      <c r="AR251"/>
      <c r="AS251"/>
      <c r="AT251"/>
      <c r="AU251"/>
    </row>
    <row r="252" spans="1:47">
      <c r="A252" s="206"/>
      <c r="B252" s="206"/>
      <c r="C252" s="206"/>
      <c r="D252" s="206"/>
      <c r="E252" s="206"/>
      <c r="F252" s="206"/>
      <c r="G252" s="206"/>
      <c r="H252" s="206"/>
      <c r="I252" s="206"/>
      <c r="J252" s="206"/>
      <c r="K252" s="206"/>
      <c r="L252" s="206"/>
      <c r="M252" s="206"/>
      <c r="N252" s="208"/>
      <c r="O252" s="208"/>
      <c r="P252" s="208"/>
      <c r="Q252" s="208"/>
      <c r="R252" s="208"/>
      <c r="S252" s="208"/>
      <c r="T252" s="208"/>
      <c r="U252" s="208"/>
      <c r="V252" s="208"/>
      <c r="W252" s="208"/>
      <c r="X252" s="208"/>
      <c r="Y252" s="208"/>
      <c r="Z252" s="208"/>
      <c r="AA252" s="208"/>
      <c r="AB252" s="208"/>
      <c r="AC252" s="208"/>
      <c r="AD252" s="208"/>
      <c r="AE252" s="208"/>
      <c r="AF252" s="45"/>
      <c r="AK252"/>
      <c r="AL252"/>
      <c r="AM252"/>
      <c r="AN252"/>
      <c r="AO252"/>
      <c r="AP252"/>
      <c r="AQ252"/>
      <c r="AR252"/>
      <c r="AS252"/>
      <c r="AT252"/>
      <c r="AU252"/>
    </row>
    <row r="253" spans="1:47">
      <c r="A253" s="206"/>
      <c r="B253" s="206"/>
      <c r="C253" s="206"/>
      <c r="D253" s="206"/>
      <c r="E253" s="206"/>
      <c r="F253" s="206"/>
      <c r="G253" s="206"/>
      <c r="H253" s="206"/>
      <c r="I253" s="206"/>
      <c r="J253" s="206"/>
      <c r="K253" s="206"/>
      <c r="L253" s="206"/>
      <c r="M253" s="206"/>
      <c r="N253" s="208"/>
      <c r="O253" s="208"/>
      <c r="P253" s="208"/>
      <c r="Q253" s="208"/>
      <c r="R253" s="208"/>
      <c r="S253" s="208"/>
      <c r="T253" s="208"/>
      <c r="U253" s="208"/>
      <c r="V253" s="208"/>
      <c r="W253" s="208"/>
      <c r="X253" s="208"/>
      <c r="Y253" s="208"/>
      <c r="Z253" s="208"/>
      <c r="AA253" s="208"/>
      <c r="AB253" s="208"/>
      <c r="AC253" s="208"/>
      <c r="AD253" s="208"/>
      <c r="AE253" s="208"/>
      <c r="AF253" s="45"/>
      <c r="AK253"/>
      <c r="AL253"/>
      <c r="AM253"/>
      <c r="AN253"/>
      <c r="AO253"/>
      <c r="AP253"/>
      <c r="AQ253"/>
      <c r="AR253"/>
      <c r="AS253"/>
      <c r="AT253"/>
      <c r="AU253"/>
    </row>
    <row r="254" spans="1:47">
      <c r="A254" s="206"/>
      <c r="B254" s="206"/>
      <c r="C254" s="206"/>
      <c r="D254" s="206"/>
      <c r="E254" s="206"/>
      <c r="F254" s="206"/>
      <c r="G254" s="206"/>
      <c r="H254" s="206"/>
      <c r="I254" s="206"/>
      <c r="J254" s="206"/>
      <c r="K254" s="206"/>
      <c r="L254" s="206"/>
      <c r="M254" s="206"/>
      <c r="N254" s="208"/>
      <c r="O254" s="208"/>
      <c r="P254" s="208"/>
      <c r="Q254" s="208"/>
      <c r="R254" s="208"/>
      <c r="S254" s="208"/>
      <c r="T254" s="208"/>
      <c r="U254" s="208"/>
      <c r="V254" s="208"/>
      <c r="W254" s="208"/>
      <c r="X254" s="208"/>
      <c r="Y254" s="208"/>
      <c r="Z254" s="208"/>
      <c r="AA254" s="208"/>
      <c r="AB254" s="208"/>
      <c r="AC254" s="208"/>
      <c r="AD254" s="208"/>
      <c r="AE254" s="208"/>
      <c r="AF254" s="45"/>
      <c r="AK254"/>
      <c r="AL254"/>
      <c r="AM254"/>
      <c r="AN254"/>
      <c r="AO254"/>
      <c r="AP254"/>
      <c r="AQ254"/>
      <c r="AR254"/>
      <c r="AS254"/>
      <c r="AT254"/>
      <c r="AU254"/>
    </row>
    <row r="255" spans="1:47">
      <c r="A255" s="206"/>
      <c r="B255" s="206"/>
      <c r="C255" s="206"/>
      <c r="D255" s="206"/>
      <c r="E255" s="206"/>
      <c r="F255" s="206"/>
      <c r="G255" s="206"/>
      <c r="H255" s="206"/>
      <c r="I255" s="206"/>
      <c r="J255" s="206"/>
      <c r="K255" s="206"/>
      <c r="L255" s="206"/>
      <c r="M255" s="206"/>
      <c r="N255" s="208"/>
      <c r="O255" s="208"/>
      <c r="P255" s="208"/>
      <c r="Q255" s="208"/>
      <c r="R255" s="208"/>
      <c r="S255" s="208"/>
      <c r="T255" s="208"/>
      <c r="U255" s="208"/>
      <c r="V255" s="208"/>
      <c r="W255" s="208"/>
      <c r="X255" s="208"/>
      <c r="Y255" s="208"/>
      <c r="Z255" s="208"/>
      <c r="AA255" s="208"/>
      <c r="AB255" s="208"/>
      <c r="AC255" s="208"/>
      <c r="AD255" s="208"/>
      <c r="AE255" s="208"/>
      <c r="AF255" s="45"/>
      <c r="AK255"/>
      <c r="AL255"/>
      <c r="AM255"/>
      <c r="AN255"/>
      <c r="AO255"/>
      <c r="AP255"/>
      <c r="AQ255"/>
      <c r="AR255"/>
      <c r="AS255"/>
      <c r="AT255"/>
      <c r="AU255"/>
    </row>
    <row r="256" spans="1:47">
      <c r="A256" s="206"/>
      <c r="B256" s="206"/>
      <c r="C256" s="206"/>
      <c r="D256" s="206"/>
      <c r="E256" s="206"/>
      <c r="F256" s="206"/>
      <c r="G256" s="206"/>
      <c r="H256" s="206"/>
      <c r="I256" s="206"/>
      <c r="J256" s="206"/>
      <c r="K256" s="206"/>
      <c r="L256" s="206"/>
      <c r="M256" s="206"/>
      <c r="N256" s="208"/>
      <c r="O256" s="208"/>
      <c r="P256" s="208"/>
      <c r="Q256" s="208"/>
      <c r="R256" s="208"/>
      <c r="S256" s="208"/>
      <c r="T256" s="208"/>
      <c r="U256" s="208"/>
      <c r="V256" s="208"/>
      <c r="W256" s="208"/>
      <c r="X256" s="208"/>
      <c r="Y256" s="208"/>
      <c r="Z256" s="208"/>
      <c r="AA256" s="208"/>
      <c r="AB256" s="208"/>
      <c r="AC256" s="208"/>
      <c r="AD256" s="208"/>
      <c r="AE256" s="208"/>
      <c r="AF256" s="45"/>
      <c r="AK256"/>
      <c r="AL256"/>
      <c r="AM256"/>
      <c r="AN256"/>
      <c r="AO256"/>
      <c r="AP256"/>
      <c r="AQ256"/>
      <c r="AR256"/>
      <c r="AS256"/>
      <c r="AT256"/>
      <c r="AU256"/>
    </row>
    <row r="257" spans="1:47">
      <c r="A257" s="206"/>
      <c r="B257" s="206"/>
      <c r="C257" s="206"/>
      <c r="D257" s="206"/>
      <c r="E257" s="206"/>
      <c r="F257" s="206"/>
      <c r="G257" s="206"/>
      <c r="H257" s="206"/>
      <c r="I257" s="206"/>
      <c r="J257" s="206"/>
      <c r="K257" s="206"/>
      <c r="L257" s="206"/>
      <c r="M257" s="206"/>
      <c r="N257" s="208"/>
      <c r="O257" s="208"/>
      <c r="P257" s="208"/>
      <c r="Q257" s="208"/>
      <c r="R257" s="208"/>
      <c r="S257" s="208"/>
      <c r="T257" s="208"/>
      <c r="U257" s="208"/>
      <c r="V257" s="208"/>
      <c r="W257" s="208"/>
      <c r="X257" s="208"/>
      <c r="Y257" s="208"/>
      <c r="Z257" s="208"/>
      <c r="AA257" s="208"/>
      <c r="AB257" s="208"/>
      <c r="AC257" s="208"/>
      <c r="AD257" s="208"/>
      <c r="AE257" s="208"/>
      <c r="AF257" s="45"/>
      <c r="AK257"/>
      <c r="AL257"/>
      <c r="AM257"/>
      <c r="AN257"/>
      <c r="AO257"/>
      <c r="AP257"/>
      <c r="AQ257"/>
      <c r="AR257"/>
      <c r="AS257"/>
      <c r="AT257"/>
      <c r="AU257"/>
    </row>
    <row r="258" spans="1:47">
      <c r="A258" s="206"/>
      <c r="B258" s="206"/>
      <c r="C258" s="206"/>
      <c r="D258" s="206"/>
      <c r="E258" s="206"/>
      <c r="F258" s="206"/>
      <c r="G258" s="206"/>
      <c r="H258" s="206"/>
      <c r="I258" s="206"/>
      <c r="J258" s="206"/>
      <c r="K258" s="206"/>
      <c r="L258" s="206"/>
      <c r="M258" s="206"/>
      <c r="N258" s="208"/>
      <c r="O258" s="208"/>
      <c r="P258" s="208"/>
      <c r="Q258" s="208"/>
      <c r="R258" s="208"/>
      <c r="S258" s="208"/>
      <c r="T258" s="208"/>
      <c r="U258" s="208"/>
      <c r="V258" s="208"/>
      <c r="W258" s="208"/>
      <c r="X258" s="208"/>
      <c r="Y258" s="208"/>
      <c r="Z258" s="208"/>
      <c r="AA258" s="208"/>
      <c r="AB258" s="208"/>
      <c r="AC258" s="208"/>
      <c r="AD258" s="208"/>
      <c r="AE258" s="208"/>
      <c r="AF258" s="45"/>
      <c r="AK258"/>
      <c r="AL258"/>
      <c r="AM258"/>
      <c r="AN258"/>
      <c r="AO258"/>
      <c r="AP258"/>
      <c r="AQ258"/>
      <c r="AR258"/>
      <c r="AS258"/>
      <c r="AT258"/>
      <c r="AU258"/>
    </row>
    <row r="259" spans="1:47">
      <c r="A259" s="206"/>
      <c r="B259" s="206"/>
      <c r="C259" s="206"/>
      <c r="D259" s="206"/>
      <c r="E259" s="206"/>
      <c r="F259" s="206"/>
      <c r="G259" s="206"/>
      <c r="H259" s="206"/>
      <c r="I259" s="206"/>
      <c r="J259" s="206"/>
      <c r="K259" s="206"/>
      <c r="L259" s="206"/>
      <c r="M259" s="206"/>
      <c r="N259" s="208"/>
      <c r="O259" s="208"/>
      <c r="P259" s="208"/>
      <c r="Q259" s="208"/>
      <c r="R259" s="208"/>
      <c r="S259" s="208"/>
      <c r="T259" s="208"/>
      <c r="U259" s="208"/>
      <c r="V259" s="208"/>
      <c r="W259" s="208"/>
      <c r="X259" s="208"/>
      <c r="Y259" s="208"/>
      <c r="Z259" s="208"/>
      <c r="AA259" s="208"/>
      <c r="AB259" s="208"/>
      <c r="AC259" s="208"/>
      <c r="AD259" s="208"/>
      <c r="AE259" s="208"/>
      <c r="AF259" s="45"/>
      <c r="AK259"/>
      <c r="AL259"/>
      <c r="AM259"/>
      <c r="AN259"/>
      <c r="AO259"/>
      <c r="AP259"/>
      <c r="AQ259"/>
      <c r="AR259"/>
      <c r="AS259"/>
      <c r="AT259"/>
      <c r="AU259"/>
    </row>
    <row r="260" spans="1:47">
      <c r="A260" s="206"/>
      <c r="B260" s="206"/>
      <c r="C260" s="206"/>
      <c r="D260" s="206"/>
      <c r="E260" s="206"/>
      <c r="F260" s="206"/>
      <c r="G260" s="206"/>
      <c r="H260" s="206"/>
      <c r="I260" s="206"/>
      <c r="J260" s="206"/>
      <c r="K260" s="206"/>
      <c r="L260" s="206"/>
      <c r="M260" s="206"/>
      <c r="N260" s="208"/>
      <c r="O260" s="208"/>
      <c r="P260" s="208"/>
      <c r="Q260" s="208"/>
      <c r="R260" s="208"/>
      <c r="S260" s="208"/>
      <c r="T260" s="208"/>
      <c r="U260" s="208"/>
      <c r="V260" s="208"/>
      <c r="W260" s="208"/>
      <c r="X260" s="208"/>
      <c r="Y260" s="208"/>
      <c r="Z260" s="208"/>
      <c r="AA260" s="208"/>
      <c r="AB260" s="208"/>
      <c r="AC260" s="208"/>
      <c r="AD260" s="208"/>
      <c r="AE260" s="208"/>
      <c r="AF260" s="45"/>
      <c r="AK260"/>
      <c r="AL260"/>
      <c r="AM260"/>
      <c r="AN260"/>
      <c r="AO260"/>
      <c r="AP260"/>
      <c r="AQ260"/>
      <c r="AR260"/>
      <c r="AS260"/>
      <c r="AT260"/>
      <c r="AU260"/>
    </row>
    <row r="261" spans="1:47">
      <c r="A261" s="206"/>
      <c r="B261" s="206"/>
      <c r="C261" s="206"/>
      <c r="D261" s="206"/>
      <c r="E261" s="206"/>
      <c r="F261" s="206"/>
      <c r="G261" s="206"/>
      <c r="H261" s="206"/>
      <c r="I261" s="206"/>
      <c r="J261" s="206"/>
      <c r="K261" s="206"/>
      <c r="L261" s="206"/>
      <c r="M261" s="206"/>
      <c r="N261" s="208"/>
      <c r="O261" s="208"/>
      <c r="P261" s="208"/>
      <c r="Q261" s="208"/>
      <c r="R261" s="208"/>
      <c r="S261" s="208"/>
      <c r="T261" s="208"/>
      <c r="U261" s="208"/>
      <c r="V261" s="208"/>
      <c r="W261" s="208"/>
      <c r="X261" s="208"/>
      <c r="Y261" s="208"/>
      <c r="Z261" s="208"/>
      <c r="AA261" s="208"/>
      <c r="AB261" s="208"/>
      <c r="AC261" s="208"/>
      <c r="AD261" s="208"/>
      <c r="AE261" s="208"/>
      <c r="AF261" s="45"/>
      <c r="AK261"/>
      <c r="AL261"/>
      <c r="AM261"/>
      <c r="AN261"/>
      <c r="AO261"/>
      <c r="AP261"/>
      <c r="AQ261"/>
      <c r="AR261"/>
      <c r="AS261"/>
      <c r="AT261"/>
      <c r="AU261"/>
    </row>
    <row r="262" spans="1:47">
      <c r="A262" s="206"/>
      <c r="B262" s="206"/>
      <c r="C262" s="206"/>
      <c r="D262" s="206"/>
      <c r="E262" s="206"/>
      <c r="F262" s="206"/>
      <c r="G262" s="206"/>
      <c r="H262" s="206"/>
      <c r="I262" s="206"/>
      <c r="J262" s="206"/>
      <c r="K262" s="206"/>
      <c r="L262" s="206"/>
      <c r="M262" s="206"/>
      <c r="N262" s="208"/>
      <c r="O262" s="208"/>
      <c r="P262" s="208"/>
      <c r="Q262" s="208"/>
      <c r="R262" s="208"/>
      <c r="S262" s="208"/>
      <c r="T262" s="208"/>
      <c r="U262" s="208"/>
      <c r="V262" s="208"/>
      <c r="W262" s="208"/>
      <c r="X262" s="208"/>
      <c r="Y262" s="208"/>
      <c r="Z262" s="208"/>
      <c r="AA262" s="208"/>
      <c r="AB262" s="208"/>
      <c r="AC262" s="208"/>
      <c r="AD262" s="208"/>
      <c r="AE262" s="208"/>
      <c r="AF262" s="45"/>
      <c r="AK262"/>
      <c r="AL262"/>
      <c r="AM262"/>
      <c r="AN262"/>
      <c r="AO262"/>
      <c r="AP262"/>
      <c r="AQ262"/>
      <c r="AR262"/>
      <c r="AS262"/>
      <c r="AT262"/>
      <c r="AU262"/>
    </row>
    <row r="263" spans="1:47">
      <c r="A263" s="206"/>
      <c r="B263" s="206"/>
      <c r="C263" s="206"/>
      <c r="D263" s="206"/>
      <c r="E263" s="206"/>
      <c r="F263" s="206"/>
      <c r="G263" s="206"/>
      <c r="H263" s="206"/>
      <c r="I263" s="206"/>
      <c r="J263" s="206"/>
      <c r="K263" s="206"/>
      <c r="L263" s="206"/>
      <c r="M263" s="206"/>
      <c r="N263" s="208"/>
      <c r="O263" s="208"/>
      <c r="P263" s="208"/>
      <c r="Q263" s="208"/>
      <c r="R263" s="208"/>
      <c r="S263" s="208"/>
      <c r="T263" s="208"/>
      <c r="U263" s="208"/>
      <c r="V263" s="208"/>
      <c r="W263" s="208"/>
      <c r="X263" s="208"/>
      <c r="Y263" s="208"/>
      <c r="Z263" s="208"/>
      <c r="AA263" s="208"/>
      <c r="AB263" s="208"/>
      <c r="AC263" s="208"/>
      <c r="AD263" s="208"/>
      <c r="AE263" s="208"/>
      <c r="AF263" s="45"/>
      <c r="AK263"/>
      <c r="AL263"/>
      <c r="AM263"/>
      <c r="AN263"/>
      <c r="AO263"/>
      <c r="AP263"/>
      <c r="AQ263"/>
      <c r="AR263"/>
      <c r="AS263"/>
      <c r="AT263"/>
      <c r="AU263"/>
    </row>
    <row r="264" spans="1:47">
      <c r="A264" s="206"/>
      <c r="B264" s="206"/>
      <c r="C264" s="206"/>
      <c r="D264" s="206"/>
      <c r="E264" s="206"/>
      <c r="F264" s="206"/>
      <c r="G264" s="206"/>
      <c r="H264" s="206"/>
      <c r="I264" s="206"/>
      <c r="J264" s="206"/>
      <c r="K264" s="206"/>
      <c r="L264" s="206"/>
      <c r="M264" s="206"/>
      <c r="N264" s="208"/>
      <c r="O264" s="208"/>
      <c r="P264" s="208"/>
      <c r="Q264" s="208"/>
      <c r="R264" s="208"/>
      <c r="S264" s="208"/>
      <c r="T264" s="208"/>
      <c r="U264" s="208"/>
      <c r="V264" s="208"/>
      <c r="W264" s="208"/>
      <c r="X264" s="208"/>
      <c r="Y264" s="208"/>
      <c r="Z264" s="208"/>
      <c r="AA264" s="208"/>
      <c r="AB264" s="208"/>
      <c r="AC264" s="208"/>
      <c r="AD264" s="208"/>
      <c r="AE264" s="208"/>
      <c r="AF264" s="45"/>
      <c r="AK264"/>
      <c r="AL264"/>
      <c r="AM264"/>
      <c r="AN264"/>
      <c r="AO264"/>
      <c r="AP264"/>
      <c r="AQ264"/>
      <c r="AR264"/>
      <c r="AS264"/>
      <c r="AT264"/>
      <c r="AU264"/>
    </row>
    <row r="265" spans="1:47">
      <c r="A265" s="206"/>
      <c r="B265" s="206"/>
      <c r="C265" s="206"/>
      <c r="D265" s="206"/>
      <c r="E265" s="206"/>
      <c r="F265" s="206"/>
      <c r="G265" s="206"/>
      <c r="H265" s="206"/>
      <c r="I265" s="206"/>
      <c r="J265" s="206"/>
      <c r="K265" s="206"/>
      <c r="L265" s="206"/>
      <c r="M265" s="206"/>
      <c r="N265" s="208"/>
      <c r="O265" s="208"/>
      <c r="P265" s="208"/>
      <c r="Q265" s="208"/>
      <c r="R265" s="208"/>
      <c r="S265" s="208"/>
      <c r="T265" s="208"/>
      <c r="U265" s="208"/>
      <c r="V265" s="208"/>
      <c r="W265" s="208"/>
      <c r="X265" s="208"/>
      <c r="Y265" s="208"/>
      <c r="Z265" s="208"/>
      <c r="AA265" s="208"/>
      <c r="AB265" s="208"/>
      <c r="AC265" s="208"/>
      <c r="AD265" s="208"/>
      <c r="AE265" s="208"/>
      <c r="AF265" s="45"/>
      <c r="AK265"/>
      <c r="AL265"/>
      <c r="AM265"/>
      <c r="AN265"/>
      <c r="AO265"/>
      <c r="AP265"/>
      <c r="AQ265"/>
      <c r="AR265"/>
      <c r="AS265"/>
      <c r="AT265"/>
      <c r="AU265"/>
    </row>
    <row r="266" spans="1:47">
      <c r="A266" s="206"/>
      <c r="B266" s="206"/>
      <c r="C266" s="206"/>
      <c r="D266" s="206"/>
      <c r="E266" s="206"/>
      <c r="F266" s="206"/>
      <c r="G266" s="206"/>
      <c r="H266" s="206"/>
      <c r="I266" s="206"/>
      <c r="J266" s="206"/>
      <c r="K266" s="206"/>
      <c r="L266" s="206"/>
      <c r="M266" s="206"/>
      <c r="N266" s="208"/>
      <c r="O266" s="208"/>
      <c r="P266" s="208"/>
      <c r="Q266" s="208"/>
      <c r="R266" s="208"/>
      <c r="S266" s="208"/>
      <c r="T266" s="208"/>
      <c r="U266" s="208"/>
      <c r="V266" s="208"/>
      <c r="W266" s="208"/>
      <c r="X266" s="208"/>
      <c r="Y266" s="208"/>
      <c r="Z266" s="208"/>
      <c r="AA266" s="208"/>
      <c r="AB266" s="208"/>
      <c r="AC266" s="208"/>
      <c r="AD266" s="208"/>
      <c r="AE266" s="208"/>
      <c r="AF266" s="45"/>
      <c r="AK266"/>
      <c r="AL266"/>
      <c r="AM266"/>
      <c r="AN266"/>
      <c r="AO266"/>
      <c r="AP266"/>
      <c r="AQ266"/>
      <c r="AR266"/>
      <c r="AS266"/>
      <c r="AT266"/>
      <c r="AU266"/>
    </row>
    <row r="267" spans="1:47">
      <c r="A267" s="206"/>
      <c r="B267" s="206"/>
      <c r="C267" s="206"/>
      <c r="D267" s="206"/>
      <c r="E267" s="206"/>
      <c r="F267" s="206"/>
      <c r="G267" s="206"/>
      <c r="H267" s="206"/>
      <c r="I267" s="206"/>
      <c r="J267" s="206"/>
      <c r="K267" s="206"/>
      <c r="L267" s="206"/>
      <c r="M267" s="206"/>
      <c r="N267" s="208"/>
      <c r="O267" s="208"/>
      <c r="P267" s="208"/>
      <c r="Q267" s="208"/>
      <c r="R267" s="208"/>
      <c r="S267" s="208"/>
      <c r="T267" s="208"/>
      <c r="U267" s="208"/>
      <c r="V267" s="208"/>
      <c r="W267" s="208"/>
      <c r="X267" s="208"/>
      <c r="Y267" s="208"/>
      <c r="Z267" s="208"/>
      <c r="AA267" s="208"/>
      <c r="AB267" s="208"/>
      <c r="AC267" s="208"/>
      <c r="AD267" s="208"/>
      <c r="AE267" s="208"/>
      <c r="AF267" s="45"/>
      <c r="AK267"/>
      <c r="AL267"/>
      <c r="AM267"/>
      <c r="AN267"/>
      <c r="AO267"/>
      <c r="AP267"/>
      <c r="AQ267"/>
      <c r="AR267"/>
      <c r="AS267"/>
      <c r="AT267"/>
      <c r="AU267"/>
    </row>
    <row r="268" spans="1:47" ht="15.75">
      <c r="A268" s="226" t="s">
        <v>76</v>
      </c>
      <c r="B268" s="226"/>
      <c r="C268" s="226"/>
      <c r="D268" s="226"/>
      <c r="E268" s="226"/>
      <c r="F268" s="226"/>
      <c r="G268" s="226"/>
      <c r="AN268" s="45"/>
      <c r="AO268" s="45"/>
      <c r="AP268" s="45"/>
      <c r="AQ268" s="45"/>
    </row>
    <row r="270" spans="1:47">
      <c r="A270" s="45" t="s">
        <v>41</v>
      </c>
      <c r="B270" s="45" t="s">
        <v>42</v>
      </c>
      <c r="C270" s="45" t="s">
        <v>13</v>
      </c>
      <c r="D270" s="45" t="s">
        <v>83</v>
      </c>
      <c r="E270" s="45" t="s">
        <v>84</v>
      </c>
      <c r="F270" s="45" t="s">
        <v>43</v>
      </c>
      <c r="G270" s="45" t="s">
        <v>85</v>
      </c>
      <c r="H270" s="45" t="s">
        <v>86</v>
      </c>
      <c r="I270" s="45" t="s">
        <v>10</v>
      </c>
      <c r="J270" s="45" t="s">
        <v>134</v>
      </c>
      <c r="K270" s="45" t="s">
        <v>4</v>
      </c>
      <c r="L270" s="45" t="s">
        <v>129</v>
      </c>
      <c r="M270" s="45" t="s">
        <v>184</v>
      </c>
      <c r="N270" s="22" t="s">
        <v>5</v>
      </c>
      <c r="O270" s="22" t="s">
        <v>124</v>
      </c>
      <c r="P270" s="22" t="s">
        <v>125</v>
      </c>
      <c r="Q270" s="22" t="s">
        <v>176</v>
      </c>
      <c r="R270" s="22" t="s">
        <v>177</v>
      </c>
      <c r="S270" s="22" t="s">
        <v>130</v>
      </c>
      <c r="T270" s="22" t="s">
        <v>131</v>
      </c>
      <c r="U270" s="22" t="s">
        <v>139</v>
      </c>
      <c r="V270" s="22" t="s">
        <v>121</v>
      </c>
      <c r="W270" s="156" t="s">
        <v>122</v>
      </c>
      <c r="X270" s="156" t="s">
        <v>178</v>
      </c>
      <c r="Y270" s="156" t="s">
        <v>179</v>
      </c>
      <c r="Z270" s="156" t="s">
        <v>126</v>
      </c>
      <c r="AA270" s="156" t="s">
        <v>132</v>
      </c>
      <c r="AB270" s="157" t="s">
        <v>180</v>
      </c>
      <c r="AC270" s="157" t="s">
        <v>181</v>
      </c>
      <c r="AD270" s="157" t="s">
        <v>182</v>
      </c>
      <c r="AE270" s="157" t="s">
        <v>183</v>
      </c>
      <c r="AJ270"/>
      <c r="AK270"/>
      <c r="AL270"/>
      <c r="AM270"/>
      <c r="AN270"/>
      <c r="AO270"/>
      <c r="AP270"/>
      <c r="AQ270"/>
      <c r="AR270"/>
      <c r="AS270"/>
      <c r="AT270"/>
      <c r="AU270"/>
    </row>
    <row r="271" spans="1:47" hidden="1">
      <c r="A271" s="22" t="s">
        <v>93</v>
      </c>
      <c r="B271" s="22" t="s">
        <v>91</v>
      </c>
      <c r="C271" s="22" t="s">
        <v>97</v>
      </c>
      <c r="D271" s="22" t="s">
        <v>90</v>
      </c>
      <c r="E271" s="22" t="s">
        <v>94</v>
      </c>
      <c r="F271" s="22" t="s">
        <v>98</v>
      </c>
      <c r="G271" s="22" t="s">
        <v>99</v>
      </c>
      <c r="H271" s="22" t="s">
        <v>100</v>
      </c>
      <c r="I271" s="22">
        <v>10123696</v>
      </c>
      <c r="J271" s="22"/>
      <c r="K271" s="22"/>
      <c r="L271" s="45"/>
      <c r="M271" s="45"/>
      <c r="N271" s="22"/>
      <c r="O271" s="22"/>
      <c r="P271" s="84"/>
      <c r="Q271" s="84"/>
      <c r="R271" s="84"/>
      <c r="S271" s="84">
        <v>10123696</v>
      </c>
      <c r="T271" s="84"/>
      <c r="U271" s="22"/>
      <c r="V271" s="22"/>
      <c r="W271" s="156"/>
      <c r="X271" s="156"/>
      <c r="Y271" s="156"/>
      <c r="Z271" s="156"/>
      <c r="AA271" s="156"/>
      <c r="AB271" s="157"/>
      <c r="AC271" s="157"/>
      <c r="AD271" s="157"/>
      <c r="AE271" s="157"/>
      <c r="AJ271"/>
      <c r="AK271"/>
      <c r="AL271"/>
      <c r="AM271"/>
      <c r="AN271"/>
      <c r="AO271"/>
      <c r="AP271"/>
      <c r="AQ271"/>
      <c r="AR271"/>
      <c r="AS271"/>
      <c r="AT271"/>
      <c r="AU271"/>
    </row>
    <row r="272" spans="1:47" hidden="1">
      <c r="A272" s="45" t="s">
        <v>98</v>
      </c>
      <c r="B272" s="45" t="s">
        <v>80</v>
      </c>
      <c r="C272" s="45" t="s">
        <v>101</v>
      </c>
      <c r="D272" s="45" t="s">
        <v>94</v>
      </c>
      <c r="E272" s="45" t="s">
        <v>90</v>
      </c>
      <c r="F272" s="45" t="s">
        <v>98</v>
      </c>
      <c r="G272" s="45"/>
      <c r="H272" s="45" t="s">
        <v>102</v>
      </c>
      <c r="I272" s="45">
        <v>-2739783.7</v>
      </c>
      <c r="J272" s="45"/>
      <c r="K272" s="45"/>
      <c r="L272" s="45"/>
      <c r="M272" s="45"/>
      <c r="N272" s="22"/>
      <c r="O272" s="22"/>
      <c r="P272" s="84"/>
      <c r="Q272" s="84"/>
      <c r="R272" s="84"/>
      <c r="S272" s="84">
        <v>-2739783.7</v>
      </c>
      <c r="T272" s="84"/>
      <c r="U272" s="22"/>
      <c r="V272" s="22"/>
      <c r="W272" s="156"/>
      <c r="X272" s="156"/>
      <c r="Y272" s="156"/>
      <c r="Z272" s="156"/>
      <c r="AA272" s="156"/>
      <c r="AB272" s="157"/>
      <c r="AC272" s="157"/>
      <c r="AD272" s="157"/>
      <c r="AE272" s="157"/>
      <c r="AJ272"/>
      <c r="AK272"/>
      <c r="AL272"/>
      <c r="AM272"/>
      <c r="AN272"/>
      <c r="AO272"/>
      <c r="AP272"/>
      <c r="AQ272"/>
      <c r="AR272"/>
      <c r="AS272"/>
      <c r="AT272"/>
      <c r="AU272"/>
    </row>
    <row r="273" spans="1:47" hidden="1">
      <c r="A273" s="45" t="s">
        <v>98</v>
      </c>
      <c r="B273" s="45" t="s">
        <v>80</v>
      </c>
      <c r="C273" s="45" t="s">
        <v>101</v>
      </c>
      <c r="D273" s="45" t="s">
        <v>94</v>
      </c>
      <c r="E273" s="45" t="s">
        <v>90</v>
      </c>
      <c r="F273" s="45" t="s">
        <v>98</v>
      </c>
      <c r="G273" s="45"/>
      <c r="H273" s="45" t="s">
        <v>103</v>
      </c>
      <c r="I273" s="45">
        <v>-9957472</v>
      </c>
      <c r="J273" s="45"/>
      <c r="K273" s="45"/>
      <c r="L273" s="45"/>
      <c r="M273" s="45"/>
      <c r="N273" s="22"/>
      <c r="O273" s="22"/>
      <c r="P273" s="84"/>
      <c r="Q273" s="84"/>
      <c r="R273" s="84"/>
      <c r="S273" s="84">
        <v>-9957472</v>
      </c>
      <c r="T273" s="84"/>
      <c r="U273" s="22"/>
      <c r="V273" s="22"/>
      <c r="W273" s="156"/>
      <c r="X273" s="156"/>
      <c r="Y273" s="156"/>
      <c r="Z273" s="156"/>
      <c r="AA273" s="156"/>
      <c r="AB273" s="157"/>
      <c r="AC273" s="157"/>
      <c r="AD273" s="157"/>
      <c r="AE273" s="157"/>
      <c r="AJ273"/>
      <c r="AK273"/>
      <c r="AL273"/>
      <c r="AM273"/>
      <c r="AN273"/>
      <c r="AO273"/>
      <c r="AP273"/>
      <c r="AQ273"/>
      <c r="AR273"/>
      <c r="AS273"/>
      <c r="AT273"/>
      <c r="AU273"/>
    </row>
    <row r="274" spans="1:47" hidden="1">
      <c r="A274" s="45" t="s">
        <v>105</v>
      </c>
      <c r="B274" s="45" t="s">
        <v>91</v>
      </c>
      <c r="C274" s="45" t="s">
        <v>109</v>
      </c>
      <c r="D274" s="45" t="s">
        <v>90</v>
      </c>
      <c r="E274" s="45" t="s">
        <v>94</v>
      </c>
      <c r="F274" s="45" t="s">
        <v>110</v>
      </c>
      <c r="G274" s="45"/>
      <c r="H274" s="45" t="s">
        <v>111</v>
      </c>
      <c r="I274" s="45">
        <v>0.02</v>
      </c>
      <c r="J274" s="45"/>
      <c r="K274" s="45"/>
      <c r="L274" s="45"/>
      <c r="M274" s="45"/>
      <c r="N274" s="22"/>
      <c r="O274" s="22"/>
      <c r="P274" s="84"/>
      <c r="Q274" s="84"/>
      <c r="R274" s="84"/>
      <c r="S274" s="84"/>
      <c r="T274" s="84"/>
      <c r="U274" s="22"/>
      <c r="V274" s="22"/>
      <c r="W274" s="156"/>
      <c r="X274" s="156"/>
      <c r="Y274" s="156"/>
      <c r="Z274" s="156"/>
      <c r="AA274" s="156"/>
      <c r="AB274" s="156"/>
      <c r="AC274" s="156"/>
      <c r="AD274" s="156"/>
      <c r="AE274" s="156"/>
      <c r="AF274"/>
      <c r="AG274"/>
      <c r="AH274"/>
      <c r="AI274"/>
      <c r="AJ274"/>
      <c r="AK274"/>
      <c r="AL274"/>
      <c r="AM274"/>
      <c r="AN274"/>
      <c r="AO274"/>
      <c r="AP274"/>
      <c r="AQ274"/>
      <c r="AR274"/>
      <c r="AS274"/>
      <c r="AT274"/>
      <c r="AU274"/>
    </row>
    <row r="275" spans="1:47" hidden="1">
      <c r="A275" s="16" t="s">
        <v>110</v>
      </c>
      <c r="B275" s="16" t="s">
        <v>113</v>
      </c>
      <c r="C275" s="16" t="s">
        <v>114</v>
      </c>
      <c r="D275" s="16" t="s">
        <v>94</v>
      </c>
      <c r="E275" s="16" t="s">
        <v>90</v>
      </c>
      <c r="F275" s="16" t="s">
        <v>115</v>
      </c>
      <c r="H275" s="16" t="s">
        <v>116</v>
      </c>
      <c r="I275" s="16">
        <v>-846000</v>
      </c>
      <c r="K275" s="16">
        <v>-846000</v>
      </c>
      <c r="P275" s="85"/>
      <c r="Q275" s="85"/>
      <c r="R275" s="85"/>
      <c r="S275" s="85"/>
      <c r="T275" s="85"/>
      <c r="W275" s="157"/>
      <c r="X275" s="157"/>
      <c r="Y275" s="157"/>
      <c r="Z275" s="157"/>
      <c r="AA275" s="157"/>
      <c r="AB275" s="156"/>
      <c r="AC275" s="156"/>
      <c r="AD275" s="156"/>
      <c r="AE275" s="156"/>
      <c r="AF275"/>
      <c r="AG275"/>
      <c r="AH275"/>
      <c r="AI275"/>
      <c r="AJ275"/>
      <c r="AK275"/>
      <c r="AL275"/>
      <c r="AM275"/>
      <c r="AN275"/>
      <c r="AO275"/>
      <c r="AP275"/>
      <c r="AQ275"/>
      <c r="AR275"/>
      <c r="AS275"/>
      <c r="AT275"/>
      <c r="AU275"/>
    </row>
    <row r="276" spans="1:47" hidden="1">
      <c r="A276" s="16" t="s">
        <v>110</v>
      </c>
      <c r="B276" s="16" t="s">
        <v>80</v>
      </c>
      <c r="C276" s="16" t="s">
        <v>109</v>
      </c>
      <c r="D276" s="16" t="s">
        <v>94</v>
      </c>
      <c r="E276" s="16" t="s">
        <v>90</v>
      </c>
      <c r="F276" s="16" t="s">
        <v>110</v>
      </c>
      <c r="H276" s="16" t="s">
        <v>112</v>
      </c>
      <c r="I276" s="16">
        <v>-0.02</v>
      </c>
      <c r="P276" s="85"/>
      <c r="Q276" s="85"/>
      <c r="R276" s="85"/>
      <c r="S276" s="85"/>
      <c r="T276" s="85"/>
      <c r="W276" s="157"/>
      <c r="X276" s="157"/>
      <c r="Y276" s="157"/>
      <c r="Z276" s="157"/>
      <c r="AA276" s="157"/>
      <c r="AB276" s="156"/>
      <c r="AC276" s="156"/>
      <c r="AD276" s="156"/>
      <c r="AE276" s="156"/>
      <c r="AF276"/>
      <c r="AG276"/>
      <c r="AH276"/>
      <c r="AI276"/>
      <c r="AJ276"/>
      <c r="AK276"/>
      <c r="AL276"/>
      <c r="AM276"/>
      <c r="AN276"/>
      <c r="AO276"/>
      <c r="AP276"/>
      <c r="AQ276"/>
      <c r="AR276"/>
      <c r="AS276"/>
      <c r="AT276"/>
      <c r="AU276"/>
    </row>
    <row r="277" spans="1:47" hidden="1">
      <c r="A277" s="16" t="s">
        <v>118</v>
      </c>
      <c r="B277" s="16" t="s">
        <v>113</v>
      </c>
      <c r="C277" s="16" t="s">
        <v>120</v>
      </c>
      <c r="D277" s="16" t="s">
        <v>94</v>
      </c>
      <c r="E277" s="16" t="s">
        <v>90</v>
      </c>
      <c r="F277" s="16" t="s">
        <v>115</v>
      </c>
      <c r="H277" s="16" t="s">
        <v>119</v>
      </c>
      <c r="I277" s="16">
        <v>-2850000</v>
      </c>
      <c r="P277" s="85"/>
      <c r="Q277" s="85"/>
      <c r="R277" s="85"/>
      <c r="S277" s="85"/>
      <c r="T277" s="85">
        <v>-2850000</v>
      </c>
      <c r="W277" s="157"/>
      <c r="X277" s="157"/>
      <c r="Y277" s="157"/>
      <c r="Z277" s="157"/>
      <c r="AA277" s="157"/>
      <c r="AB277" s="156"/>
      <c r="AC277" s="156"/>
      <c r="AD277" s="156"/>
      <c r="AE277" s="156"/>
      <c r="AF277"/>
      <c r="AG277"/>
      <c r="AH277"/>
      <c r="AI277"/>
      <c r="AJ277"/>
      <c r="AK277"/>
      <c r="AL277"/>
      <c r="AM277"/>
      <c r="AN277"/>
      <c r="AO277"/>
      <c r="AP277"/>
      <c r="AQ277"/>
      <c r="AR277"/>
      <c r="AS277"/>
      <c r="AT277"/>
      <c r="AU277"/>
    </row>
    <row r="278" spans="1:47" hidden="1">
      <c r="A278" s="16" t="s">
        <v>115</v>
      </c>
      <c r="B278" s="16" t="s">
        <v>113</v>
      </c>
      <c r="C278" s="16" t="s">
        <v>127</v>
      </c>
      <c r="D278" s="16" t="s">
        <v>94</v>
      </c>
      <c r="E278" s="16" t="s">
        <v>90</v>
      </c>
      <c r="F278" s="16" t="s">
        <v>128</v>
      </c>
      <c r="H278" s="16" t="s">
        <v>119</v>
      </c>
      <c r="I278" s="16">
        <v>-503755</v>
      </c>
      <c r="P278" s="85"/>
      <c r="Q278" s="85"/>
      <c r="R278" s="85"/>
      <c r="S278" s="85"/>
      <c r="T278" s="85">
        <v>-503755</v>
      </c>
      <c r="W278" s="157"/>
      <c r="X278" s="157"/>
      <c r="Y278" s="157"/>
      <c r="Z278" s="157"/>
      <c r="AA278" s="157"/>
      <c r="AB278" s="156"/>
      <c r="AC278" s="156"/>
      <c r="AD278" s="156"/>
      <c r="AE278" s="156"/>
      <c r="AF278"/>
      <c r="AG278"/>
      <c r="AH278"/>
      <c r="AI278"/>
      <c r="AJ278"/>
      <c r="AK278"/>
      <c r="AL278"/>
      <c r="AM278"/>
      <c r="AN278"/>
      <c r="AO278"/>
      <c r="AP278"/>
      <c r="AQ278"/>
      <c r="AR278"/>
      <c r="AS278"/>
      <c r="AT278"/>
      <c r="AU278"/>
    </row>
    <row r="279" spans="1:47" hidden="1">
      <c r="A279" s="77" t="s">
        <v>115</v>
      </c>
      <c r="B279" s="77" t="s">
        <v>117</v>
      </c>
      <c r="C279" s="77" t="s">
        <v>114</v>
      </c>
      <c r="D279" s="77" t="s">
        <v>90</v>
      </c>
      <c r="E279" s="77" t="s">
        <v>94</v>
      </c>
      <c r="F279" s="77" t="s">
        <v>115</v>
      </c>
      <c r="G279" s="77"/>
      <c r="H279" s="77" t="s">
        <v>116</v>
      </c>
      <c r="I279" s="77">
        <v>846000</v>
      </c>
      <c r="J279" s="77"/>
      <c r="K279" s="77">
        <v>846000</v>
      </c>
      <c r="L279" s="77"/>
      <c r="M279" s="77"/>
      <c r="P279" s="85"/>
      <c r="Q279" s="85"/>
      <c r="R279" s="85"/>
      <c r="S279" s="85"/>
      <c r="T279" s="85"/>
      <c r="W279" s="157"/>
      <c r="X279" s="157"/>
      <c r="Y279" s="157"/>
      <c r="Z279" s="157"/>
      <c r="AA279" s="157"/>
      <c r="AB279" s="156"/>
      <c r="AC279" s="156"/>
      <c r="AD279" s="156"/>
      <c r="AE279" s="156"/>
      <c r="AF279"/>
      <c r="AG279"/>
      <c r="AH279"/>
      <c r="AI279"/>
      <c r="AJ279"/>
      <c r="AK279"/>
      <c r="AL279"/>
      <c r="AM279"/>
      <c r="AN279"/>
      <c r="AO279"/>
      <c r="AP279"/>
      <c r="AQ279"/>
      <c r="AR279"/>
      <c r="AS279"/>
      <c r="AT279"/>
      <c r="AU279"/>
    </row>
    <row r="280" spans="1:47" hidden="1">
      <c r="A280" s="77" t="s">
        <v>115</v>
      </c>
      <c r="B280" s="77" t="s">
        <v>117</v>
      </c>
      <c r="C280" s="77" t="s">
        <v>120</v>
      </c>
      <c r="D280" s="77" t="s">
        <v>90</v>
      </c>
      <c r="E280" s="77" t="s">
        <v>94</v>
      </c>
      <c r="F280" s="77" t="s">
        <v>115</v>
      </c>
      <c r="G280" s="77"/>
      <c r="H280" s="77" t="s">
        <v>119</v>
      </c>
      <c r="I280" s="77">
        <v>2850000</v>
      </c>
      <c r="J280" s="77"/>
      <c r="K280" s="77"/>
      <c r="L280" s="77"/>
      <c r="M280" s="77"/>
      <c r="P280" s="85"/>
      <c r="Q280" s="85"/>
      <c r="R280" s="85"/>
      <c r="S280" s="85"/>
      <c r="T280" s="85">
        <v>2850000</v>
      </c>
      <c r="W280" s="157"/>
      <c r="X280" s="157"/>
      <c r="Y280" s="157"/>
      <c r="Z280" s="157"/>
      <c r="AA280" s="157"/>
      <c r="AB280" s="156"/>
      <c r="AC280" s="156"/>
      <c r="AD280" s="156"/>
      <c r="AE280" s="156"/>
      <c r="AF280"/>
      <c r="AG280"/>
      <c r="AH280"/>
      <c r="AI280"/>
      <c r="AJ280"/>
      <c r="AK280"/>
      <c r="AL280"/>
      <c r="AM280"/>
      <c r="AN280"/>
      <c r="AO280"/>
      <c r="AP280"/>
      <c r="AQ280"/>
      <c r="AR280"/>
      <c r="AS280"/>
      <c r="AT280"/>
      <c r="AU280"/>
    </row>
    <row r="281" spans="1:47" hidden="1">
      <c r="A281" s="16" t="s">
        <v>128</v>
      </c>
      <c r="B281" s="16" t="s">
        <v>117</v>
      </c>
      <c r="C281" s="16" t="s">
        <v>127</v>
      </c>
      <c r="D281" s="16" t="s">
        <v>90</v>
      </c>
      <c r="E281" s="16" t="s">
        <v>94</v>
      </c>
      <c r="F281" s="16" t="s">
        <v>128</v>
      </c>
      <c r="H281" s="16" t="s">
        <v>119</v>
      </c>
      <c r="I281" s="16">
        <v>503755</v>
      </c>
      <c r="P281" s="85"/>
      <c r="Q281" s="85"/>
      <c r="R281" s="85"/>
      <c r="S281" s="85"/>
      <c r="T281" s="85">
        <v>503755</v>
      </c>
      <c r="W281" s="157"/>
      <c r="X281" s="157"/>
      <c r="Y281" s="157"/>
      <c r="Z281" s="157"/>
      <c r="AA281" s="157"/>
      <c r="AB281" s="156"/>
      <c r="AC281" s="156"/>
      <c r="AD281" s="156"/>
      <c r="AE281" s="156"/>
      <c r="AF281"/>
      <c r="AG281"/>
      <c r="AH281"/>
      <c r="AI281"/>
      <c r="AJ281"/>
      <c r="AK281"/>
      <c r="AL281"/>
      <c r="AM281"/>
      <c r="AN281"/>
      <c r="AO281"/>
      <c r="AP281"/>
      <c r="AQ281"/>
      <c r="AR281"/>
      <c r="AS281"/>
      <c r="AT281"/>
      <c r="AU281"/>
    </row>
    <row r="282" spans="1:47" hidden="1">
      <c r="A282" s="16" t="s">
        <v>143</v>
      </c>
      <c r="B282" s="16" t="s">
        <v>113</v>
      </c>
      <c r="C282" s="16" t="s">
        <v>144</v>
      </c>
      <c r="D282" s="16" t="s">
        <v>94</v>
      </c>
      <c r="E282" s="16" t="s">
        <v>90</v>
      </c>
      <c r="F282" s="16" t="s">
        <v>145</v>
      </c>
      <c r="G282" s="16" t="s">
        <v>146</v>
      </c>
      <c r="H282" s="16" t="s">
        <v>147</v>
      </c>
      <c r="I282" s="16">
        <v>-10400000</v>
      </c>
      <c r="P282" s="85"/>
      <c r="Q282" s="85"/>
      <c r="R282" s="85"/>
      <c r="S282" s="85">
        <v>-10400000</v>
      </c>
      <c r="T282" s="85"/>
      <c r="W282" s="157"/>
      <c r="X282" s="157"/>
      <c r="Y282" s="157"/>
      <c r="Z282" s="157"/>
      <c r="AA282" s="157"/>
      <c r="AB282" s="157"/>
      <c r="AC282" s="157"/>
      <c r="AD282" s="157"/>
      <c r="AE282" s="157"/>
      <c r="AF282"/>
      <c r="AG282"/>
      <c r="AH282"/>
      <c r="AI282"/>
      <c r="AJ282"/>
      <c r="AK282"/>
      <c r="AL282"/>
      <c r="AM282"/>
      <c r="AN282"/>
      <c r="AO282"/>
      <c r="AP282"/>
      <c r="AQ282"/>
      <c r="AR282"/>
      <c r="AS282"/>
      <c r="AT282"/>
      <c r="AU282"/>
    </row>
    <row r="283" spans="1:47" hidden="1">
      <c r="A283" s="16" t="s">
        <v>145</v>
      </c>
      <c r="B283" s="16" t="s">
        <v>117</v>
      </c>
      <c r="C283" s="16" t="s">
        <v>144</v>
      </c>
      <c r="D283" s="16" t="s">
        <v>90</v>
      </c>
      <c r="E283" s="16" t="s">
        <v>94</v>
      </c>
      <c r="F283" s="16" t="s">
        <v>145</v>
      </c>
      <c r="G283" s="16" t="s">
        <v>146</v>
      </c>
      <c r="H283" s="16" t="s">
        <v>147</v>
      </c>
      <c r="I283" s="16">
        <v>10400000</v>
      </c>
      <c r="T283" s="16">
        <v>10400000</v>
      </c>
      <c r="W283" s="157"/>
      <c r="X283" s="157"/>
      <c r="Y283" s="157"/>
      <c r="Z283" s="157"/>
      <c r="AA283" s="157"/>
      <c r="AB283" s="157"/>
      <c r="AC283" s="157"/>
      <c r="AD283" s="157"/>
      <c r="AE283" s="157"/>
      <c r="AR283"/>
      <c r="AS283"/>
      <c r="AT283"/>
      <c r="AU283"/>
    </row>
    <row r="284" spans="1:47" hidden="1">
      <c r="A284" s="91" t="s">
        <v>154</v>
      </c>
      <c r="B284" s="91" t="s">
        <v>91</v>
      </c>
      <c r="C284" s="91" t="s">
        <v>155</v>
      </c>
      <c r="D284" s="91" t="s">
        <v>94</v>
      </c>
      <c r="E284" s="91" t="s">
        <v>90</v>
      </c>
      <c r="F284" s="91" t="s">
        <v>135</v>
      </c>
      <c r="G284" s="91" t="s">
        <v>157</v>
      </c>
      <c r="H284" s="91" t="s">
        <v>156</v>
      </c>
      <c r="I284" s="91">
        <v>-2945941.06</v>
      </c>
      <c r="J284" s="91"/>
      <c r="K284" s="91"/>
      <c r="L284" s="91"/>
      <c r="M284" s="91"/>
      <c r="N284" s="91"/>
      <c r="O284" s="91"/>
      <c r="P284" s="91">
        <v>-2945941.06</v>
      </c>
      <c r="Q284" s="91"/>
      <c r="R284" s="91"/>
      <c r="S284" s="91"/>
      <c r="T284" s="91"/>
      <c r="U284" s="91"/>
      <c r="V284" s="91"/>
      <c r="W284" s="157"/>
      <c r="X284" s="157"/>
      <c r="Y284" s="157"/>
      <c r="Z284" s="157"/>
      <c r="AA284" s="157"/>
      <c r="AB284" s="157"/>
      <c r="AC284" s="157"/>
      <c r="AD284" s="157"/>
      <c r="AE284" s="157"/>
      <c r="AR284"/>
      <c r="AS284"/>
      <c r="AT284"/>
      <c r="AU284"/>
    </row>
    <row r="285" spans="1:47" hidden="1">
      <c r="A285" s="91" t="s">
        <v>135</v>
      </c>
      <c r="B285" s="91" t="s">
        <v>113</v>
      </c>
      <c r="C285" s="91" t="s">
        <v>200</v>
      </c>
      <c r="D285" s="91" t="s">
        <v>94</v>
      </c>
      <c r="E285" s="91" t="s">
        <v>90</v>
      </c>
      <c r="F285" s="91" t="s">
        <v>172</v>
      </c>
      <c r="G285" s="91" t="s">
        <v>201</v>
      </c>
      <c r="H285" s="91" t="s">
        <v>202</v>
      </c>
      <c r="I285" s="91">
        <v>-1066420</v>
      </c>
      <c r="J285" s="91"/>
      <c r="K285" s="91"/>
      <c r="L285" s="91"/>
      <c r="M285" s="91"/>
      <c r="N285" s="91"/>
      <c r="O285" s="91"/>
      <c r="P285" s="91"/>
      <c r="Q285" s="91"/>
      <c r="R285" s="91"/>
      <c r="S285" s="91"/>
      <c r="T285" s="91"/>
      <c r="U285" s="91"/>
      <c r="V285" s="91"/>
      <c r="W285" s="157"/>
      <c r="X285" s="157"/>
      <c r="Y285" s="157"/>
      <c r="Z285" s="157"/>
      <c r="AA285" s="157"/>
      <c r="AB285" s="157">
        <v>-82343.06</v>
      </c>
      <c r="AC285" s="157">
        <v>-66845.19</v>
      </c>
      <c r="AD285" s="157"/>
      <c r="AE285" s="157">
        <v>-917231.75</v>
      </c>
      <c r="AR285"/>
      <c r="AS285"/>
      <c r="AT285"/>
      <c r="AU285"/>
    </row>
    <row r="286" spans="1:47" hidden="1">
      <c r="A286" s="98" t="s">
        <v>135</v>
      </c>
      <c r="B286" s="98" t="s">
        <v>113</v>
      </c>
      <c r="C286" s="98" t="s">
        <v>200</v>
      </c>
      <c r="D286" s="98" t="s">
        <v>94</v>
      </c>
      <c r="E286" s="98" t="s">
        <v>90</v>
      </c>
      <c r="F286" s="98" t="s">
        <v>203</v>
      </c>
      <c r="G286" s="98" t="s">
        <v>201</v>
      </c>
      <c r="H286" s="98" t="s">
        <v>202</v>
      </c>
      <c r="I286" s="98">
        <v>-1066419</v>
      </c>
      <c r="J286" s="98"/>
      <c r="K286" s="98"/>
      <c r="L286" s="98"/>
      <c r="M286" s="98"/>
      <c r="N286" s="98"/>
      <c r="O286" s="98"/>
      <c r="P286" s="98"/>
      <c r="Q286" s="98"/>
      <c r="R286" s="98"/>
      <c r="S286" s="98"/>
      <c r="T286" s="98"/>
      <c r="U286" s="98"/>
      <c r="V286" s="98"/>
      <c r="W286" s="157"/>
      <c r="X286" s="157"/>
      <c r="Y286" s="157"/>
      <c r="Z286" s="157"/>
      <c r="AA286" s="157"/>
      <c r="AB286" s="157">
        <v>-82343.06</v>
      </c>
      <c r="AC286" s="157">
        <v>-66845.19</v>
      </c>
      <c r="AD286" s="157"/>
      <c r="AE286" s="157">
        <v>-917230.75</v>
      </c>
      <c r="AR286"/>
      <c r="AS286"/>
      <c r="AT286"/>
      <c r="AU286"/>
    </row>
    <row r="287" spans="1:47" hidden="1">
      <c r="A287" s="171" t="s">
        <v>135</v>
      </c>
      <c r="B287" s="171" t="s">
        <v>113</v>
      </c>
      <c r="C287" s="171" t="s">
        <v>204</v>
      </c>
      <c r="D287" s="171" t="s">
        <v>94</v>
      </c>
      <c r="E287" s="171" t="s">
        <v>90</v>
      </c>
      <c r="F287" s="171" t="s">
        <v>171</v>
      </c>
      <c r="G287" s="171" t="s">
        <v>207</v>
      </c>
      <c r="H287" s="171" t="s">
        <v>119</v>
      </c>
      <c r="I287" s="171">
        <v>-2100000</v>
      </c>
      <c r="J287" s="171"/>
      <c r="K287" s="171"/>
      <c r="L287" s="171"/>
      <c r="M287" s="171"/>
      <c r="N287" s="171"/>
      <c r="O287" s="171"/>
      <c r="P287" s="171"/>
      <c r="Q287" s="171">
        <v>-2100000</v>
      </c>
      <c r="R287" s="171"/>
      <c r="S287" s="171"/>
      <c r="T287" s="171"/>
      <c r="U287" s="171"/>
      <c r="V287" s="171"/>
      <c r="W287" s="171"/>
      <c r="X287" s="171"/>
      <c r="Y287" s="171"/>
      <c r="Z287" s="171"/>
      <c r="AA287" s="171"/>
      <c r="AB287" s="171"/>
      <c r="AC287" s="171"/>
      <c r="AD287" s="171"/>
      <c r="AE287" s="171"/>
      <c r="AR287"/>
      <c r="AS287"/>
      <c r="AT287"/>
      <c r="AU287"/>
    </row>
    <row r="288" spans="1:47" hidden="1">
      <c r="A288" s="171" t="s">
        <v>135</v>
      </c>
      <c r="B288" s="171" t="s">
        <v>113</v>
      </c>
      <c r="C288" s="171" t="s">
        <v>204</v>
      </c>
      <c r="D288" s="171" t="s">
        <v>94</v>
      </c>
      <c r="E288" s="171" t="s">
        <v>90</v>
      </c>
      <c r="F288" s="171" t="s">
        <v>171</v>
      </c>
      <c r="G288" s="171" t="s">
        <v>208</v>
      </c>
      <c r="H288" s="171" t="s">
        <v>119</v>
      </c>
      <c r="I288" s="171">
        <v>-379473.86</v>
      </c>
      <c r="J288" s="171"/>
      <c r="K288" s="171"/>
      <c r="L288" s="171"/>
      <c r="M288" s="171"/>
      <c r="N288" s="171"/>
      <c r="O288" s="171">
        <v>-379473.86</v>
      </c>
      <c r="P288" s="171"/>
      <c r="Q288" s="171"/>
      <c r="R288" s="171"/>
      <c r="S288" s="171"/>
      <c r="T288" s="171"/>
      <c r="U288" s="171"/>
      <c r="V288" s="171"/>
      <c r="W288" s="171"/>
      <c r="X288" s="171"/>
      <c r="Y288" s="171"/>
      <c r="Z288" s="171"/>
      <c r="AA288" s="171"/>
      <c r="AB288" s="171"/>
      <c r="AC288" s="171"/>
      <c r="AD288" s="171"/>
      <c r="AE288" s="171"/>
      <c r="AR288"/>
      <c r="AS288"/>
      <c r="AT288"/>
      <c r="AU288"/>
    </row>
    <row r="289" spans="1:47" hidden="1">
      <c r="A289" s="171" t="s">
        <v>135</v>
      </c>
      <c r="B289" s="171" t="s">
        <v>113</v>
      </c>
      <c r="C289" s="171" t="s">
        <v>204</v>
      </c>
      <c r="D289" s="171" t="s">
        <v>94</v>
      </c>
      <c r="E289" s="171" t="s">
        <v>90</v>
      </c>
      <c r="F289" s="171" t="s">
        <v>171</v>
      </c>
      <c r="G289" s="171" t="s">
        <v>205</v>
      </c>
      <c r="H289" s="171" t="s">
        <v>206</v>
      </c>
      <c r="I289" s="171">
        <v>-232575</v>
      </c>
      <c r="J289" s="171"/>
      <c r="K289" s="171"/>
      <c r="L289" s="171"/>
      <c r="M289" s="171"/>
      <c r="N289" s="171"/>
      <c r="O289" s="171"/>
      <c r="P289" s="171"/>
      <c r="Q289" s="171"/>
      <c r="R289" s="171"/>
      <c r="S289" s="171"/>
      <c r="T289" s="171"/>
      <c r="U289" s="171"/>
      <c r="V289" s="171"/>
      <c r="W289" s="171"/>
      <c r="X289" s="171"/>
      <c r="Y289" s="171"/>
      <c r="Z289" s="171">
        <v>-232575</v>
      </c>
      <c r="AA289" s="171"/>
      <c r="AB289" s="171"/>
      <c r="AC289" s="171"/>
      <c r="AD289" s="171"/>
      <c r="AE289" s="171"/>
      <c r="AR289"/>
      <c r="AS289"/>
      <c r="AT289"/>
      <c r="AU289"/>
    </row>
    <row r="290" spans="1:47" hidden="1">
      <c r="A290" s="171" t="s">
        <v>135</v>
      </c>
      <c r="B290" s="171" t="s">
        <v>117</v>
      </c>
      <c r="C290" s="171" t="s">
        <v>155</v>
      </c>
      <c r="D290" s="171" t="s">
        <v>90</v>
      </c>
      <c r="E290" s="171" t="s">
        <v>94</v>
      </c>
      <c r="F290" s="171" t="s">
        <v>135</v>
      </c>
      <c r="G290" s="171" t="s">
        <v>157</v>
      </c>
      <c r="H290" s="171" t="s">
        <v>156</v>
      </c>
      <c r="I290" s="171">
        <v>2945941.06</v>
      </c>
      <c r="J290" s="171"/>
      <c r="K290" s="171"/>
      <c r="L290" s="171"/>
      <c r="M290" s="171"/>
      <c r="N290" s="171"/>
      <c r="O290" s="171"/>
      <c r="P290" s="171">
        <v>2945941.06</v>
      </c>
      <c r="Q290" s="171"/>
      <c r="R290" s="171"/>
      <c r="S290" s="171"/>
      <c r="T290" s="171"/>
      <c r="U290" s="171"/>
      <c r="V290" s="171"/>
      <c r="W290" s="171"/>
      <c r="X290" s="171"/>
      <c r="Y290" s="171"/>
      <c r="Z290" s="171"/>
      <c r="AA290" s="171"/>
      <c r="AB290" s="171"/>
      <c r="AC290" s="171"/>
      <c r="AD290" s="171"/>
      <c r="AE290" s="171"/>
      <c r="AR290"/>
      <c r="AS290"/>
      <c r="AT290"/>
      <c r="AU290"/>
    </row>
    <row r="291" spans="1:47">
      <c r="A291" s="171" t="s">
        <v>171</v>
      </c>
      <c r="B291" s="171" t="s">
        <v>113</v>
      </c>
      <c r="C291" s="171" t="s">
        <v>212</v>
      </c>
      <c r="D291" s="171" t="s">
        <v>94</v>
      </c>
      <c r="E291" s="171" t="s">
        <v>90</v>
      </c>
      <c r="F291" s="171" t="s">
        <v>203</v>
      </c>
      <c r="G291" s="171" t="s">
        <v>213</v>
      </c>
      <c r="H291" s="171" t="s">
        <v>156</v>
      </c>
      <c r="I291" s="171">
        <v>-2745366.96</v>
      </c>
      <c r="J291" s="171"/>
      <c r="K291" s="171"/>
      <c r="L291" s="171"/>
      <c r="M291" s="171"/>
      <c r="N291" s="171"/>
      <c r="O291" s="171">
        <v>-379474</v>
      </c>
      <c r="P291" s="171"/>
      <c r="Q291" s="171">
        <v>-2365892.96</v>
      </c>
      <c r="R291" s="171"/>
      <c r="S291" s="171"/>
      <c r="T291" s="171"/>
      <c r="U291" s="171"/>
      <c r="V291" s="171"/>
      <c r="W291" s="171"/>
      <c r="X291" s="171"/>
      <c r="Y291" s="171"/>
      <c r="Z291" s="171"/>
      <c r="AA291" s="171"/>
      <c r="AB291" s="171"/>
      <c r="AC291" s="171"/>
      <c r="AD291" s="171"/>
      <c r="AE291" s="171"/>
      <c r="AR291"/>
      <c r="AS291"/>
      <c r="AT291"/>
      <c r="AU291"/>
    </row>
    <row r="292" spans="1:47">
      <c r="A292" s="171" t="s">
        <v>171</v>
      </c>
      <c r="B292" s="171" t="s">
        <v>113</v>
      </c>
      <c r="C292" s="171" t="s">
        <v>214</v>
      </c>
      <c r="D292" s="171" t="s">
        <v>94</v>
      </c>
      <c r="E292" s="171" t="s">
        <v>90</v>
      </c>
      <c r="F292" s="171" t="s">
        <v>203</v>
      </c>
      <c r="G292" s="171" t="s">
        <v>213</v>
      </c>
      <c r="H292" s="171" t="s">
        <v>215</v>
      </c>
      <c r="I292" s="171">
        <v>-1579575</v>
      </c>
      <c r="J292" s="171"/>
      <c r="K292" s="171"/>
      <c r="L292" s="171"/>
      <c r="M292" s="171"/>
      <c r="N292" s="171"/>
      <c r="O292" s="171"/>
      <c r="P292" s="171"/>
      <c r="Q292" s="171"/>
      <c r="R292" s="171"/>
      <c r="S292" s="171"/>
      <c r="T292" s="171"/>
      <c r="U292" s="171"/>
      <c r="V292" s="171"/>
      <c r="W292" s="171"/>
      <c r="X292" s="171"/>
      <c r="Y292" s="171"/>
      <c r="Z292" s="171">
        <v>-1579575</v>
      </c>
      <c r="AA292" s="171"/>
      <c r="AB292" s="171"/>
      <c r="AC292" s="171"/>
      <c r="AD292" s="171"/>
      <c r="AE292" s="171"/>
      <c r="AR292"/>
      <c r="AS292"/>
      <c r="AT292"/>
      <c r="AU292"/>
    </row>
    <row r="293" spans="1:47">
      <c r="A293" s="171" t="s">
        <v>171</v>
      </c>
      <c r="B293" s="171" t="s">
        <v>117</v>
      </c>
      <c r="C293" s="171" t="s">
        <v>204</v>
      </c>
      <c r="D293" s="171" t="s">
        <v>90</v>
      </c>
      <c r="E293" s="171" t="s">
        <v>94</v>
      </c>
      <c r="F293" s="171" t="s">
        <v>171</v>
      </c>
      <c r="G293" s="171" t="s">
        <v>207</v>
      </c>
      <c r="H293" s="171" t="s">
        <v>119</v>
      </c>
      <c r="I293" s="171">
        <v>2100000</v>
      </c>
      <c r="J293" s="171"/>
      <c r="K293" s="171"/>
      <c r="L293" s="171"/>
      <c r="M293" s="171"/>
      <c r="N293" s="171"/>
      <c r="O293" s="171"/>
      <c r="P293" s="171"/>
      <c r="Q293" s="171">
        <v>2100000</v>
      </c>
      <c r="R293" s="171"/>
      <c r="S293" s="171"/>
      <c r="T293" s="171"/>
      <c r="U293" s="171"/>
      <c r="V293" s="171"/>
      <c r="W293" s="171"/>
      <c r="X293" s="171"/>
      <c r="Y293" s="171"/>
      <c r="Z293" s="171"/>
      <c r="AA293" s="171"/>
      <c r="AB293" s="171"/>
      <c r="AC293" s="171"/>
      <c r="AD293" s="171"/>
      <c r="AE293" s="171"/>
      <c r="AR293"/>
      <c r="AS293"/>
      <c r="AT293"/>
      <c r="AU293"/>
    </row>
    <row r="294" spans="1:47">
      <c r="A294" s="171" t="s">
        <v>171</v>
      </c>
      <c r="B294" s="171" t="s">
        <v>117</v>
      </c>
      <c r="C294" s="171" t="s">
        <v>204</v>
      </c>
      <c r="D294" s="171" t="s">
        <v>90</v>
      </c>
      <c r="E294" s="171" t="s">
        <v>94</v>
      </c>
      <c r="F294" s="171" t="s">
        <v>171</v>
      </c>
      <c r="G294" s="171" t="s">
        <v>208</v>
      </c>
      <c r="H294" s="171" t="s">
        <v>119</v>
      </c>
      <c r="I294" s="171">
        <v>379473.86</v>
      </c>
      <c r="J294" s="171"/>
      <c r="K294" s="171"/>
      <c r="L294" s="171"/>
      <c r="M294" s="171"/>
      <c r="N294" s="171"/>
      <c r="O294" s="171">
        <v>379473.86</v>
      </c>
      <c r="P294" s="171"/>
      <c r="Q294" s="171"/>
      <c r="R294" s="171"/>
      <c r="S294" s="171"/>
      <c r="T294" s="171"/>
      <c r="U294" s="171"/>
      <c r="V294" s="171"/>
      <c r="W294" s="171"/>
      <c r="X294" s="171"/>
      <c r="Y294" s="171"/>
      <c r="Z294" s="171"/>
      <c r="AA294" s="171"/>
      <c r="AB294" s="171"/>
      <c r="AC294" s="171"/>
      <c r="AD294" s="171"/>
      <c r="AE294" s="171"/>
    </row>
    <row r="295" spans="1:47">
      <c r="A295" s="16" t="s">
        <v>171</v>
      </c>
      <c r="B295" s="16" t="s">
        <v>117</v>
      </c>
      <c r="C295" s="16" t="s">
        <v>204</v>
      </c>
      <c r="D295" s="16" t="s">
        <v>90</v>
      </c>
      <c r="E295" s="16" t="s">
        <v>94</v>
      </c>
      <c r="F295" s="16" t="s">
        <v>171</v>
      </c>
      <c r="G295" s="16" t="s">
        <v>205</v>
      </c>
      <c r="H295" s="16" t="s">
        <v>206</v>
      </c>
      <c r="I295" s="16">
        <v>232575</v>
      </c>
      <c r="Z295" s="16">
        <v>232575</v>
      </c>
    </row>
    <row r="296" spans="1:47">
      <c r="A296" s="185" t="s">
        <v>172</v>
      </c>
      <c r="B296" s="185" t="s">
        <v>113</v>
      </c>
      <c r="C296" s="185" t="s">
        <v>229</v>
      </c>
      <c r="D296" s="185" t="s">
        <v>94</v>
      </c>
      <c r="E296" s="185" t="s">
        <v>90</v>
      </c>
      <c r="F296" s="185" t="s">
        <v>203</v>
      </c>
      <c r="G296" s="185" t="s">
        <v>230</v>
      </c>
      <c r="H296" s="185" t="s">
        <v>231</v>
      </c>
      <c r="I296" s="185">
        <v>-107450.7</v>
      </c>
      <c r="J296" s="185"/>
      <c r="K296" s="185"/>
      <c r="L296" s="185"/>
      <c r="M296" s="185"/>
      <c r="N296" s="185"/>
      <c r="O296" s="185"/>
      <c r="P296" s="185"/>
      <c r="Q296" s="185"/>
      <c r="R296" s="185"/>
      <c r="S296" s="185"/>
      <c r="T296" s="185"/>
      <c r="U296" s="185"/>
      <c r="V296" s="185"/>
      <c r="W296" s="185"/>
      <c r="X296" s="185"/>
      <c r="Y296" s="185"/>
      <c r="Z296" s="185"/>
      <c r="AA296" s="185"/>
      <c r="AB296" s="185"/>
      <c r="AC296" s="185"/>
      <c r="AD296" s="185"/>
      <c r="AE296" s="185">
        <v>-107450.7</v>
      </c>
    </row>
    <row r="297" spans="1:47">
      <c r="A297" s="185" t="s">
        <v>172</v>
      </c>
      <c r="B297" s="185" t="s">
        <v>113</v>
      </c>
      <c r="C297" s="185" t="s">
        <v>229</v>
      </c>
      <c r="D297" s="185" t="s">
        <v>94</v>
      </c>
      <c r="E297" s="185" t="s">
        <v>90</v>
      </c>
      <c r="F297" s="185" t="s">
        <v>203</v>
      </c>
      <c r="G297" s="185" t="s">
        <v>219</v>
      </c>
      <c r="H297" s="185" t="s">
        <v>237</v>
      </c>
      <c r="I297" s="185">
        <v>-172.44</v>
      </c>
      <c r="J297" s="185"/>
      <c r="K297" s="185"/>
      <c r="L297" s="185"/>
      <c r="M297" s="185"/>
      <c r="N297" s="185"/>
      <c r="O297" s="185"/>
      <c r="P297" s="185"/>
      <c r="Q297" s="185">
        <v>-172.44</v>
      </c>
      <c r="R297" s="185"/>
      <c r="S297" s="185"/>
      <c r="T297" s="185"/>
      <c r="U297" s="185"/>
      <c r="V297" s="185"/>
      <c r="W297" s="185"/>
      <c r="X297" s="185"/>
      <c r="Y297" s="185"/>
      <c r="Z297" s="185"/>
      <c r="AA297" s="185"/>
      <c r="AB297" s="185"/>
      <c r="AC297" s="185"/>
      <c r="AD297" s="185"/>
      <c r="AE297" s="185"/>
    </row>
    <row r="298" spans="1:47">
      <c r="A298" s="185" t="s">
        <v>172</v>
      </c>
      <c r="B298" s="185" t="s">
        <v>113</v>
      </c>
      <c r="C298" s="185" t="s">
        <v>229</v>
      </c>
      <c r="D298" s="185" t="s">
        <v>94</v>
      </c>
      <c r="E298" s="185" t="s">
        <v>90</v>
      </c>
      <c r="F298" s="185" t="s">
        <v>232</v>
      </c>
      <c r="G298" s="185" t="s">
        <v>233</v>
      </c>
      <c r="H298" s="185" t="s">
        <v>215</v>
      </c>
      <c r="I298" s="185">
        <v>-1948934.07</v>
      </c>
      <c r="J298" s="185"/>
      <c r="K298" s="185"/>
      <c r="L298" s="185"/>
      <c r="M298" s="185"/>
      <c r="N298" s="185"/>
      <c r="O298" s="185"/>
      <c r="P298" s="185"/>
      <c r="Q298" s="185"/>
      <c r="R298" s="185"/>
      <c r="S298" s="185"/>
      <c r="T298" s="185"/>
      <c r="U298" s="185"/>
      <c r="V298" s="185"/>
      <c r="W298" s="185"/>
      <c r="X298" s="185"/>
      <c r="Y298" s="185"/>
      <c r="Z298" s="185">
        <v>-1948934.07</v>
      </c>
      <c r="AA298" s="185"/>
      <c r="AB298" s="185"/>
      <c r="AC298" s="185"/>
      <c r="AD298" s="185"/>
      <c r="AE298" s="185"/>
    </row>
    <row r="299" spans="1:47">
      <c r="A299" s="185" t="s">
        <v>172</v>
      </c>
      <c r="B299" s="185" t="s">
        <v>117</v>
      </c>
      <c r="C299" s="185" t="s">
        <v>200</v>
      </c>
      <c r="D299" s="185" t="s">
        <v>90</v>
      </c>
      <c r="E299" s="185" t="s">
        <v>94</v>
      </c>
      <c r="F299" s="185" t="s">
        <v>172</v>
      </c>
      <c r="G299" s="185" t="s">
        <v>201</v>
      </c>
      <c r="H299" s="185" t="s">
        <v>202</v>
      </c>
      <c r="I299" s="185">
        <v>1066420</v>
      </c>
      <c r="J299" s="185"/>
      <c r="K299" s="185"/>
      <c r="L299" s="185"/>
      <c r="M299" s="185"/>
      <c r="N299" s="185"/>
      <c r="O299" s="185"/>
      <c r="P299" s="185"/>
      <c r="Q299" s="185"/>
      <c r="R299" s="185"/>
      <c r="S299" s="185"/>
      <c r="T299" s="185"/>
      <c r="U299" s="185"/>
      <c r="V299" s="185"/>
      <c r="W299" s="185"/>
      <c r="X299" s="185"/>
      <c r="Y299" s="185"/>
      <c r="Z299" s="185"/>
      <c r="AA299" s="185"/>
      <c r="AB299" s="185">
        <v>82343.06</v>
      </c>
      <c r="AC299" s="185">
        <v>66845.19</v>
      </c>
      <c r="AD299" s="185"/>
      <c r="AE299" s="185">
        <v>917231.75</v>
      </c>
    </row>
    <row r="300" spans="1:47">
      <c r="A300" s="191" t="s">
        <v>172</v>
      </c>
      <c r="B300" s="191" t="s">
        <v>223</v>
      </c>
      <c r="C300" s="191" t="s">
        <v>224</v>
      </c>
      <c r="D300" s="191" t="s">
        <v>90</v>
      </c>
      <c r="E300" s="191" t="s">
        <v>94</v>
      </c>
      <c r="F300" s="191" t="s">
        <v>172</v>
      </c>
      <c r="G300" s="191" t="s">
        <v>220</v>
      </c>
      <c r="H300" s="191" t="s">
        <v>225</v>
      </c>
      <c r="I300" s="191">
        <v>468000</v>
      </c>
      <c r="J300" s="191">
        <v>468000</v>
      </c>
      <c r="K300" s="191"/>
      <c r="L300" s="191"/>
      <c r="M300" s="191"/>
      <c r="N300" s="191"/>
      <c r="O300" s="191"/>
      <c r="P300" s="191"/>
      <c r="Q300" s="191"/>
      <c r="R300" s="191"/>
      <c r="S300" s="191"/>
      <c r="T300" s="191"/>
      <c r="U300" s="191"/>
      <c r="V300" s="191"/>
      <c r="W300" s="191"/>
      <c r="X300" s="191"/>
      <c r="Y300" s="191"/>
      <c r="Z300" s="191"/>
      <c r="AA300" s="191"/>
      <c r="AB300" s="191"/>
      <c r="AC300" s="191"/>
      <c r="AD300" s="191"/>
      <c r="AE300" s="191"/>
    </row>
    <row r="301" spans="1:47">
      <c r="A301" s="191" t="s">
        <v>172</v>
      </c>
      <c r="B301" s="191" t="s">
        <v>136</v>
      </c>
      <c r="C301" s="191" t="s">
        <v>224</v>
      </c>
      <c r="D301" s="191" t="s">
        <v>94</v>
      </c>
      <c r="E301" s="191" t="s">
        <v>90</v>
      </c>
      <c r="F301" s="191" t="s">
        <v>172</v>
      </c>
      <c r="G301" s="191" t="s">
        <v>220</v>
      </c>
      <c r="H301" s="191" t="s">
        <v>226</v>
      </c>
      <c r="I301" s="191">
        <v>-520000</v>
      </c>
      <c r="J301" s="191"/>
      <c r="K301" s="191"/>
      <c r="L301" s="191"/>
      <c r="M301" s="191"/>
      <c r="N301" s="191"/>
      <c r="O301" s="191"/>
      <c r="P301" s="191"/>
      <c r="Q301" s="191">
        <v>-520000</v>
      </c>
      <c r="R301" s="191"/>
      <c r="S301" s="191"/>
      <c r="T301" s="191"/>
      <c r="U301" s="191"/>
      <c r="V301" s="191"/>
      <c r="W301" s="191"/>
      <c r="X301" s="191"/>
      <c r="Y301" s="191"/>
      <c r="Z301" s="191"/>
      <c r="AA301" s="191"/>
      <c r="AB301" s="191"/>
      <c r="AC301" s="191"/>
      <c r="AD301" s="191"/>
      <c r="AE301" s="191"/>
    </row>
    <row r="302" spans="1:47">
      <c r="A302" s="191" t="s">
        <v>203</v>
      </c>
      <c r="B302" s="191" t="s">
        <v>113</v>
      </c>
      <c r="C302" s="191" t="s">
        <v>289</v>
      </c>
      <c r="D302" s="191" t="s">
        <v>94</v>
      </c>
      <c r="E302" s="191" t="s">
        <v>90</v>
      </c>
      <c r="F302" s="191" t="s">
        <v>232</v>
      </c>
      <c r="G302" s="191" t="s">
        <v>250</v>
      </c>
      <c r="H302" s="191" t="s">
        <v>251</v>
      </c>
      <c r="I302" s="191">
        <v>-1461000</v>
      </c>
      <c r="J302" s="191"/>
      <c r="K302" s="191"/>
      <c r="L302" s="191"/>
      <c r="M302" s="191"/>
      <c r="N302" s="191"/>
      <c r="O302" s="191">
        <v>-1461000</v>
      </c>
      <c r="P302" s="191"/>
      <c r="Q302" s="191"/>
      <c r="R302" s="191"/>
      <c r="S302" s="191"/>
      <c r="T302" s="191"/>
      <c r="U302" s="191"/>
      <c r="V302" s="191"/>
      <c r="W302" s="191"/>
      <c r="X302" s="191"/>
      <c r="Y302" s="191"/>
      <c r="Z302" s="191"/>
      <c r="AA302" s="191"/>
      <c r="AB302" s="191"/>
      <c r="AC302" s="191"/>
      <c r="AD302" s="191"/>
      <c r="AE302" s="191"/>
    </row>
    <row r="303" spans="1:47">
      <c r="A303" s="191" t="s">
        <v>203</v>
      </c>
      <c r="B303" s="191" t="s">
        <v>113</v>
      </c>
      <c r="C303" s="191" t="s">
        <v>289</v>
      </c>
      <c r="D303" s="191" t="s">
        <v>94</v>
      </c>
      <c r="E303" s="191" t="s">
        <v>90</v>
      </c>
      <c r="F303" s="191" t="s">
        <v>232</v>
      </c>
      <c r="G303" s="191" t="s">
        <v>252</v>
      </c>
      <c r="H303" s="191" t="s">
        <v>237</v>
      </c>
      <c r="I303" s="191">
        <v>-1140000</v>
      </c>
      <c r="J303" s="191"/>
      <c r="K303" s="191"/>
      <c r="L303" s="191"/>
      <c r="M303" s="191"/>
      <c r="N303" s="191"/>
      <c r="O303" s="191"/>
      <c r="P303" s="191"/>
      <c r="Q303" s="191">
        <v>-1140000</v>
      </c>
      <c r="R303" s="191"/>
      <c r="S303" s="191"/>
      <c r="T303" s="191"/>
      <c r="U303" s="191"/>
      <c r="V303" s="191"/>
      <c r="W303" s="191"/>
      <c r="X303" s="191"/>
      <c r="Y303" s="191"/>
      <c r="Z303" s="191"/>
      <c r="AA303" s="191"/>
      <c r="AB303" s="191"/>
      <c r="AC303" s="191"/>
      <c r="AD303" s="191"/>
      <c r="AE303" s="191"/>
    </row>
    <row r="304" spans="1:47">
      <c r="A304" s="191" t="s">
        <v>203</v>
      </c>
      <c r="B304" s="191" t="s">
        <v>113</v>
      </c>
      <c r="C304" s="191" t="s">
        <v>289</v>
      </c>
      <c r="D304" s="191" t="s">
        <v>94</v>
      </c>
      <c r="E304" s="191" t="s">
        <v>90</v>
      </c>
      <c r="F304" s="191" t="s">
        <v>232</v>
      </c>
      <c r="G304" s="191" t="s">
        <v>253</v>
      </c>
      <c r="H304" s="191" t="s">
        <v>215</v>
      </c>
      <c r="I304" s="191">
        <v>-918787.91</v>
      </c>
      <c r="J304" s="191"/>
      <c r="K304" s="191"/>
      <c r="L304" s="191"/>
      <c r="M304" s="191"/>
      <c r="N304" s="191"/>
      <c r="O304" s="191"/>
      <c r="P304" s="191"/>
      <c r="Q304" s="191"/>
      <c r="R304" s="191"/>
      <c r="S304" s="191"/>
      <c r="T304" s="191"/>
      <c r="U304" s="191"/>
      <c r="V304" s="191"/>
      <c r="W304" s="191"/>
      <c r="X304" s="191"/>
      <c r="Y304" s="191"/>
      <c r="Z304" s="191">
        <v>-918787.91</v>
      </c>
      <c r="AA304" s="191"/>
      <c r="AB304" s="191"/>
      <c r="AC304" s="191"/>
      <c r="AD304" s="191"/>
      <c r="AE304" s="191"/>
    </row>
    <row r="305" spans="1:31">
      <c r="A305" s="191" t="s">
        <v>203</v>
      </c>
      <c r="B305" s="191" t="s">
        <v>113</v>
      </c>
      <c r="C305" s="191" t="s">
        <v>290</v>
      </c>
      <c r="D305" s="191" t="s">
        <v>94</v>
      </c>
      <c r="E305" s="191" t="s">
        <v>90</v>
      </c>
      <c r="F305" s="191" t="s">
        <v>254</v>
      </c>
      <c r="G305" s="191" t="s">
        <v>255</v>
      </c>
      <c r="H305" s="191" t="s">
        <v>256</v>
      </c>
      <c r="I305" s="191">
        <v>-631796.98</v>
      </c>
      <c r="J305" s="191"/>
      <c r="K305" s="191"/>
      <c r="L305" s="191"/>
      <c r="M305" s="191"/>
      <c r="N305" s="191"/>
      <c r="O305" s="191"/>
      <c r="P305" s="191"/>
      <c r="Q305" s="191"/>
      <c r="R305" s="191"/>
      <c r="S305" s="191">
        <v>-631796.98</v>
      </c>
      <c r="T305" s="191"/>
      <c r="U305" s="191"/>
      <c r="V305" s="191"/>
      <c r="W305" s="191"/>
      <c r="X305" s="191"/>
      <c r="Y305" s="191"/>
      <c r="Z305" s="191"/>
      <c r="AA305" s="191"/>
      <c r="AB305" s="191"/>
      <c r="AC305" s="191"/>
      <c r="AD305" s="191"/>
      <c r="AE305" s="191"/>
    </row>
    <row r="306" spans="1:31">
      <c r="A306" s="194" t="s">
        <v>203</v>
      </c>
      <c r="B306" s="194" t="s">
        <v>117</v>
      </c>
      <c r="C306" s="194" t="s">
        <v>200</v>
      </c>
      <c r="D306" s="194" t="s">
        <v>90</v>
      </c>
      <c r="E306" s="194" t="s">
        <v>94</v>
      </c>
      <c r="F306" s="194" t="s">
        <v>203</v>
      </c>
      <c r="G306" s="194" t="s">
        <v>201</v>
      </c>
      <c r="H306" s="194" t="s">
        <v>202</v>
      </c>
      <c r="I306" s="194">
        <v>1066419</v>
      </c>
      <c r="J306" s="194"/>
      <c r="K306" s="194"/>
      <c r="L306" s="194"/>
      <c r="M306" s="194"/>
      <c r="N306" s="194"/>
      <c r="O306" s="194"/>
      <c r="P306" s="194"/>
      <c r="Q306" s="194"/>
      <c r="R306" s="194"/>
      <c r="S306" s="194"/>
      <c r="T306" s="194"/>
      <c r="U306" s="194"/>
      <c r="V306" s="194"/>
      <c r="W306" s="194"/>
      <c r="X306" s="194"/>
      <c r="Y306" s="194"/>
      <c r="Z306" s="194"/>
      <c r="AA306" s="194"/>
      <c r="AB306" s="194">
        <v>82343.06</v>
      </c>
      <c r="AC306" s="194">
        <v>66845.19</v>
      </c>
      <c r="AD306" s="194"/>
      <c r="AE306" s="194">
        <v>917230.75</v>
      </c>
    </row>
    <row r="307" spans="1:31">
      <c r="A307" s="194" t="s">
        <v>203</v>
      </c>
      <c r="B307" s="194" t="s">
        <v>117</v>
      </c>
      <c r="C307" s="194" t="s">
        <v>212</v>
      </c>
      <c r="D307" s="194" t="s">
        <v>90</v>
      </c>
      <c r="E307" s="194" t="s">
        <v>94</v>
      </c>
      <c r="F307" s="194" t="s">
        <v>203</v>
      </c>
      <c r="G307" s="194" t="s">
        <v>213</v>
      </c>
      <c r="H307" s="194" t="s">
        <v>156</v>
      </c>
      <c r="I307" s="194">
        <v>2745366.96</v>
      </c>
      <c r="J307" s="194"/>
      <c r="K307" s="194"/>
      <c r="L307" s="194"/>
      <c r="M307" s="194"/>
      <c r="N307" s="194"/>
      <c r="O307" s="194">
        <v>379474</v>
      </c>
      <c r="P307" s="194"/>
      <c r="Q307" s="194">
        <v>2365892.96</v>
      </c>
      <c r="R307" s="194"/>
      <c r="S307" s="194"/>
      <c r="T307" s="194"/>
      <c r="U307" s="194"/>
      <c r="V307" s="194"/>
      <c r="W307" s="194"/>
      <c r="X307" s="194"/>
      <c r="Y307" s="194"/>
      <c r="Z307" s="194"/>
      <c r="AA307" s="194"/>
      <c r="AB307" s="194"/>
      <c r="AC307" s="194"/>
      <c r="AD307" s="194"/>
      <c r="AE307" s="194"/>
    </row>
    <row r="308" spans="1:31">
      <c r="A308" s="206" t="s">
        <v>203</v>
      </c>
      <c r="B308" s="206" t="s">
        <v>117</v>
      </c>
      <c r="C308" s="206" t="s">
        <v>214</v>
      </c>
      <c r="D308" s="206" t="s">
        <v>90</v>
      </c>
      <c r="E308" s="206" t="s">
        <v>94</v>
      </c>
      <c r="F308" s="206" t="s">
        <v>203</v>
      </c>
      <c r="G308" s="206" t="s">
        <v>213</v>
      </c>
      <c r="H308" s="206" t="s">
        <v>215</v>
      </c>
      <c r="I308" s="206">
        <v>1579575</v>
      </c>
      <c r="J308" s="206"/>
      <c r="K308" s="206"/>
      <c r="L308" s="206"/>
      <c r="M308" s="206"/>
      <c r="N308" s="206"/>
      <c r="O308" s="206"/>
      <c r="P308" s="206"/>
      <c r="Q308" s="206"/>
      <c r="R308" s="206"/>
      <c r="S308" s="206"/>
      <c r="T308" s="206"/>
      <c r="U308" s="206"/>
      <c r="V308" s="206"/>
      <c r="W308" s="206"/>
      <c r="X308" s="206"/>
      <c r="Y308" s="206"/>
      <c r="Z308" s="206">
        <v>1579575</v>
      </c>
      <c r="AA308" s="206"/>
      <c r="AB308" s="206"/>
      <c r="AC308" s="206"/>
      <c r="AD308" s="206"/>
      <c r="AE308" s="206"/>
    </row>
    <row r="309" spans="1:31">
      <c r="A309" s="206" t="s">
        <v>203</v>
      </c>
      <c r="B309" s="206" t="s">
        <v>117</v>
      </c>
      <c r="C309" s="206" t="s">
        <v>229</v>
      </c>
      <c r="D309" s="206" t="s">
        <v>90</v>
      </c>
      <c r="E309" s="206" t="s">
        <v>94</v>
      </c>
      <c r="F309" s="206" t="s">
        <v>203</v>
      </c>
      <c r="G309" s="206" t="s">
        <v>230</v>
      </c>
      <c r="H309" s="206" t="s">
        <v>231</v>
      </c>
      <c r="I309" s="206">
        <v>107450.7</v>
      </c>
      <c r="J309" s="206"/>
      <c r="K309" s="206"/>
      <c r="L309" s="206"/>
      <c r="M309" s="206"/>
      <c r="N309" s="206"/>
      <c r="O309" s="206"/>
      <c r="P309" s="206"/>
      <c r="Q309" s="206"/>
      <c r="R309" s="206"/>
      <c r="S309" s="206"/>
      <c r="T309" s="206"/>
      <c r="U309" s="206"/>
      <c r="V309" s="206"/>
      <c r="W309" s="206"/>
      <c r="X309" s="206"/>
      <c r="Y309" s="206"/>
      <c r="Z309" s="206"/>
      <c r="AA309" s="206"/>
      <c r="AB309" s="206"/>
      <c r="AC309" s="206"/>
      <c r="AD309" s="206"/>
      <c r="AE309" s="206">
        <v>107450.7</v>
      </c>
    </row>
    <row r="310" spans="1:31">
      <c r="A310" s="206" t="s">
        <v>203</v>
      </c>
      <c r="B310" s="206" t="s">
        <v>117</v>
      </c>
      <c r="C310" s="206" t="s">
        <v>229</v>
      </c>
      <c r="D310" s="206" t="s">
        <v>90</v>
      </c>
      <c r="E310" s="206" t="s">
        <v>94</v>
      </c>
      <c r="F310" s="206" t="s">
        <v>203</v>
      </c>
      <c r="G310" s="206" t="s">
        <v>219</v>
      </c>
      <c r="H310" s="206" t="s">
        <v>237</v>
      </c>
      <c r="I310" s="206">
        <v>172.44</v>
      </c>
      <c r="J310" s="206"/>
      <c r="K310" s="206"/>
      <c r="L310" s="206"/>
      <c r="M310" s="206"/>
      <c r="N310" s="206"/>
      <c r="O310" s="206"/>
      <c r="P310" s="206"/>
      <c r="Q310" s="206">
        <v>172.44</v>
      </c>
      <c r="R310" s="206"/>
      <c r="S310" s="206"/>
      <c r="T310" s="206"/>
      <c r="U310" s="206"/>
      <c r="V310" s="206"/>
      <c r="W310" s="206"/>
      <c r="X310" s="206"/>
      <c r="Y310" s="206"/>
      <c r="Z310" s="206"/>
      <c r="AA310" s="206"/>
      <c r="AB310" s="206"/>
      <c r="AC310" s="206"/>
      <c r="AD310" s="206"/>
      <c r="AE310" s="206"/>
    </row>
    <row r="311" spans="1:31">
      <c r="A311" s="206" t="s">
        <v>203</v>
      </c>
      <c r="B311" s="206" t="s">
        <v>223</v>
      </c>
      <c r="C311" s="206" t="s">
        <v>248</v>
      </c>
      <c r="D311" s="206" t="s">
        <v>90</v>
      </c>
      <c r="E311" s="206" t="s">
        <v>94</v>
      </c>
      <c r="F311" s="206" t="s">
        <v>203</v>
      </c>
      <c r="G311" s="206" t="s">
        <v>238</v>
      </c>
      <c r="H311" s="206" t="s">
        <v>225</v>
      </c>
      <c r="I311" s="206">
        <v>208000</v>
      </c>
      <c r="J311" s="206">
        <v>208000</v>
      </c>
      <c r="K311" s="206"/>
      <c r="L311" s="206"/>
      <c r="M311" s="206"/>
      <c r="N311" s="206"/>
      <c r="O311" s="206"/>
      <c r="P311" s="206"/>
      <c r="Q311" s="206"/>
      <c r="R311" s="206"/>
      <c r="S311" s="206"/>
      <c r="T311" s="206"/>
      <c r="U311" s="206"/>
      <c r="V311" s="206"/>
      <c r="W311" s="206"/>
      <c r="X311" s="206"/>
      <c r="Y311" s="206"/>
      <c r="Z311" s="206"/>
      <c r="AA311" s="206"/>
      <c r="AB311" s="206"/>
      <c r="AC311" s="206"/>
      <c r="AD311" s="206"/>
      <c r="AE311" s="206"/>
    </row>
    <row r="312" spans="1:31">
      <c r="A312" s="206" t="s">
        <v>203</v>
      </c>
      <c r="B312" s="206" t="s">
        <v>136</v>
      </c>
      <c r="C312" s="206" t="s">
        <v>248</v>
      </c>
      <c r="D312" s="206" t="s">
        <v>94</v>
      </c>
      <c r="E312" s="206" t="s">
        <v>90</v>
      </c>
      <c r="F312" s="206" t="s">
        <v>203</v>
      </c>
      <c r="G312" s="206" t="s">
        <v>238</v>
      </c>
      <c r="H312" s="206" t="s">
        <v>249</v>
      </c>
      <c r="I312" s="206">
        <v>-231111.11</v>
      </c>
      <c r="J312" s="206"/>
      <c r="K312" s="206"/>
      <c r="L312" s="206"/>
      <c r="M312" s="206"/>
      <c r="N312" s="206"/>
      <c r="O312" s="206">
        <v>-231111.11</v>
      </c>
      <c r="P312" s="206"/>
      <c r="Q312" s="206"/>
      <c r="R312" s="206"/>
      <c r="S312" s="206"/>
      <c r="T312" s="206"/>
      <c r="U312" s="206"/>
      <c r="V312" s="206"/>
      <c r="W312" s="206"/>
      <c r="X312" s="206"/>
      <c r="Y312" s="206"/>
      <c r="Z312" s="206"/>
      <c r="AA312" s="206"/>
      <c r="AB312" s="206"/>
      <c r="AC312" s="206"/>
      <c r="AD312" s="206"/>
      <c r="AE312" s="206"/>
    </row>
    <row r="313" spans="1:31">
      <c r="A313" s="206" t="s">
        <v>232</v>
      </c>
      <c r="B313" s="206" t="s">
        <v>117</v>
      </c>
      <c r="C313" s="206" t="s">
        <v>229</v>
      </c>
      <c r="D313" s="206" t="s">
        <v>90</v>
      </c>
      <c r="E313" s="206" t="s">
        <v>94</v>
      </c>
      <c r="F313" s="206" t="s">
        <v>232</v>
      </c>
      <c r="G313" s="206" t="s">
        <v>233</v>
      </c>
      <c r="H313" s="206" t="s">
        <v>215</v>
      </c>
      <c r="I313" s="206">
        <v>1948934.07</v>
      </c>
      <c r="J313" s="206"/>
      <c r="K313" s="206"/>
      <c r="L313" s="206"/>
      <c r="M313" s="206"/>
      <c r="N313" s="206"/>
      <c r="O313" s="206"/>
      <c r="P313" s="206"/>
      <c r="Q313" s="206"/>
      <c r="R313" s="206"/>
      <c r="S313" s="206"/>
      <c r="T313" s="206"/>
      <c r="U313" s="206"/>
      <c r="V313" s="206"/>
      <c r="W313" s="206"/>
      <c r="X313" s="206"/>
      <c r="Y313" s="206"/>
      <c r="Z313" s="206">
        <v>1948934.07</v>
      </c>
      <c r="AA313" s="206"/>
      <c r="AB313" s="206"/>
      <c r="AC313" s="206"/>
      <c r="AD313" s="206"/>
      <c r="AE313" s="206"/>
    </row>
    <row r="314" spans="1:31">
      <c r="A314" s="206" t="s">
        <v>232</v>
      </c>
      <c r="B314" s="206" t="s">
        <v>117</v>
      </c>
      <c r="C314" s="206" t="s">
        <v>289</v>
      </c>
      <c r="D314" s="206" t="s">
        <v>90</v>
      </c>
      <c r="E314" s="206" t="s">
        <v>94</v>
      </c>
      <c r="F314" s="206" t="s">
        <v>232</v>
      </c>
      <c r="G314" s="206" t="s">
        <v>252</v>
      </c>
      <c r="H314" s="206" t="s">
        <v>237</v>
      </c>
      <c r="I314" s="206">
        <v>2601000</v>
      </c>
      <c r="J314" s="206"/>
      <c r="K314" s="206"/>
      <c r="L314" s="206"/>
      <c r="M314" s="206"/>
      <c r="N314" s="206"/>
      <c r="O314" s="206">
        <v>1461000</v>
      </c>
      <c r="P314" s="206"/>
      <c r="Q314" s="206">
        <v>1140000</v>
      </c>
      <c r="R314" s="206"/>
      <c r="S314" s="206"/>
      <c r="T314" s="206"/>
      <c r="U314" s="206"/>
      <c r="V314" s="206"/>
      <c r="W314" s="206"/>
      <c r="X314" s="206"/>
      <c r="Y314" s="206"/>
      <c r="Z314" s="206"/>
      <c r="AA314" s="206"/>
      <c r="AB314" s="206"/>
      <c r="AC314" s="206"/>
      <c r="AD314" s="206"/>
      <c r="AE314" s="206"/>
    </row>
    <row r="315" spans="1:31">
      <c r="A315" s="206" t="s">
        <v>232</v>
      </c>
      <c r="B315" s="206" t="s">
        <v>117</v>
      </c>
      <c r="C315" s="206" t="s">
        <v>289</v>
      </c>
      <c r="D315" s="206" t="s">
        <v>90</v>
      </c>
      <c r="E315" s="206" t="s">
        <v>94</v>
      </c>
      <c r="F315" s="206" t="s">
        <v>232</v>
      </c>
      <c r="G315" s="206" t="s">
        <v>253</v>
      </c>
      <c r="H315" s="206" t="s">
        <v>215</v>
      </c>
      <c r="I315" s="206">
        <v>918787.91</v>
      </c>
      <c r="J315" s="206"/>
      <c r="K315" s="206"/>
      <c r="L315" s="206"/>
      <c r="M315" s="206"/>
      <c r="N315" s="206"/>
      <c r="O315" s="206"/>
      <c r="P315" s="206"/>
      <c r="Q315" s="206"/>
      <c r="R315" s="206"/>
      <c r="S315" s="206"/>
      <c r="T315" s="206"/>
      <c r="U315" s="206"/>
      <c r="V315" s="206"/>
      <c r="W315" s="206"/>
      <c r="X315" s="206"/>
      <c r="Y315" s="206"/>
      <c r="Z315" s="206">
        <v>918787.91</v>
      </c>
      <c r="AA315" s="206"/>
      <c r="AB315" s="206"/>
      <c r="AC315" s="206"/>
      <c r="AD315" s="206"/>
      <c r="AE315" s="206"/>
    </row>
    <row r="316" spans="1:31" hidden="1">
      <c r="A316" s="206" t="s">
        <v>254</v>
      </c>
      <c r="B316" s="206" t="s">
        <v>117</v>
      </c>
      <c r="C316" s="206" t="s">
        <v>290</v>
      </c>
      <c r="D316" s="206" t="s">
        <v>90</v>
      </c>
      <c r="E316" s="206" t="s">
        <v>94</v>
      </c>
      <c r="F316" s="206" t="s">
        <v>254</v>
      </c>
      <c r="G316" s="206" t="s">
        <v>255</v>
      </c>
      <c r="H316" s="206" t="s">
        <v>256</v>
      </c>
      <c r="I316" s="206">
        <v>631796.98</v>
      </c>
      <c r="J316" s="206"/>
      <c r="K316" s="206"/>
      <c r="L316" s="206"/>
      <c r="M316" s="206"/>
      <c r="N316" s="206"/>
      <c r="O316" s="206"/>
      <c r="P316" s="206"/>
      <c r="Q316" s="206"/>
      <c r="R316" s="206"/>
      <c r="S316" s="206">
        <v>631796.98</v>
      </c>
      <c r="T316" s="206"/>
      <c r="U316" s="206"/>
      <c r="V316" s="206"/>
      <c r="W316" s="206"/>
      <c r="X316" s="206"/>
      <c r="Y316" s="206"/>
      <c r="Z316" s="206"/>
      <c r="AA316" s="206"/>
      <c r="AB316" s="206"/>
      <c r="AC316" s="206"/>
      <c r="AD316" s="206"/>
      <c r="AE316" s="206"/>
    </row>
  </sheetData>
  <mergeCells count="5">
    <mergeCell ref="A1:F1"/>
    <mergeCell ref="A3:F3"/>
    <mergeCell ref="A9:G9"/>
    <mergeCell ref="A268:G268"/>
    <mergeCell ref="A7:H7"/>
  </mergeCells>
  <pageMargins left="0.7" right="0.7" top="0.75" bottom="0.75" header="0.3" footer="0.3"/>
  <pageSetup paperSize="17" scale="18"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H56"/>
  <sheetViews>
    <sheetView topLeftCell="A9" zoomScaleNormal="100" workbookViewId="0">
      <selection activeCell="F18" sqref="F18"/>
    </sheetView>
  </sheetViews>
  <sheetFormatPr defaultRowHeight="15"/>
  <cols>
    <col min="1" max="1" width="9.140625" style="1"/>
    <col min="2" max="2" width="20.7109375" customWidth="1"/>
    <col min="3" max="3" width="41.42578125" customWidth="1"/>
    <col min="4" max="4" width="15.7109375" customWidth="1"/>
    <col min="5" max="5" width="18.28515625" customWidth="1"/>
    <col min="7" max="7" width="22.7109375" customWidth="1"/>
    <col min="8" max="8" width="36.7109375" bestFit="1" customWidth="1"/>
    <col min="10" max="10" width="18.7109375" bestFit="1" customWidth="1"/>
  </cols>
  <sheetData>
    <row r="1" spans="1:8">
      <c r="A1" s="4" t="s">
        <v>13</v>
      </c>
      <c r="B1" s="235" t="s">
        <v>14</v>
      </c>
      <c r="C1" s="235"/>
      <c r="D1" s="235"/>
      <c r="E1" s="235"/>
      <c r="G1" s="96"/>
    </row>
    <row r="2" spans="1:8" ht="81.75" customHeight="1">
      <c r="A2" s="1">
        <v>1</v>
      </c>
      <c r="B2" s="228" t="s">
        <v>16</v>
      </c>
      <c r="C2" s="228"/>
      <c r="D2" s="228"/>
      <c r="E2" s="228"/>
    </row>
    <row r="3" spans="1:8" ht="14.45" customHeight="1">
      <c r="B3" s="3"/>
      <c r="C3" s="3"/>
      <c r="D3" s="3"/>
      <c r="E3" s="3"/>
      <c r="G3" s="97"/>
    </row>
    <row r="4" spans="1:8" ht="33" customHeight="1">
      <c r="A4" s="1">
        <v>2</v>
      </c>
      <c r="B4" s="228" t="s">
        <v>153</v>
      </c>
      <c r="C4" s="228"/>
      <c r="D4" s="228"/>
      <c r="E4" s="228"/>
      <c r="G4" s="97"/>
    </row>
    <row r="5" spans="1:8" ht="14.45" customHeight="1">
      <c r="B5" s="3"/>
      <c r="C5" s="3"/>
      <c r="D5" s="3"/>
      <c r="E5" s="3"/>
      <c r="G5" s="97"/>
    </row>
    <row r="6" spans="1:8" ht="36.75" customHeight="1">
      <c r="A6" s="1">
        <v>3</v>
      </c>
      <c r="B6" s="228" t="s">
        <v>174</v>
      </c>
      <c r="C6" s="228"/>
      <c r="D6" s="228"/>
      <c r="E6" s="228"/>
      <c r="G6" s="97"/>
    </row>
    <row r="7" spans="1:8" ht="114" customHeight="1">
      <c r="A7" s="1">
        <v>3</v>
      </c>
      <c r="B7" s="229" t="s">
        <v>138</v>
      </c>
      <c r="C7" s="229"/>
      <c r="D7" s="229"/>
      <c r="E7" s="229"/>
      <c r="G7" s="97"/>
    </row>
    <row r="8" spans="1:8">
      <c r="B8" s="3"/>
      <c r="C8" s="3"/>
      <c r="D8" s="3"/>
      <c r="E8" s="3"/>
      <c r="G8" s="97"/>
    </row>
    <row r="9" spans="1:8" ht="18" customHeight="1">
      <c r="A9" s="1">
        <v>4</v>
      </c>
      <c r="B9" s="232" t="s">
        <v>54</v>
      </c>
      <c r="C9" s="232"/>
      <c r="D9" s="7"/>
      <c r="E9" s="7"/>
      <c r="H9" s="97"/>
    </row>
    <row r="10" spans="1:8" ht="18" customHeight="1">
      <c r="B10" s="236" t="s">
        <v>304</v>
      </c>
      <c r="C10" s="236"/>
      <c r="D10" s="10">
        <v>350000</v>
      </c>
      <c r="E10" s="174"/>
    </row>
    <row r="11" spans="1:8" ht="18" customHeight="1">
      <c r="B11" s="228" t="s">
        <v>305</v>
      </c>
      <c r="C11" s="228"/>
      <c r="D11" s="9">
        <v>350000</v>
      </c>
    </row>
    <row r="12" spans="1:8" ht="18" customHeight="1">
      <c r="B12" s="236" t="s">
        <v>306</v>
      </c>
      <c r="C12" s="236"/>
      <c r="D12" s="11">
        <f>+D10-D11</f>
        <v>0</v>
      </c>
      <c r="E12" s="175">
        <f>D12/$D$14</f>
        <v>0</v>
      </c>
    </row>
    <row r="13" spans="1:8" ht="31.5" customHeight="1">
      <c r="B13" s="228" t="s">
        <v>307</v>
      </c>
      <c r="C13" s="228"/>
      <c r="D13" s="8">
        <f>350000</f>
        <v>350000</v>
      </c>
      <c r="E13" s="173">
        <f>D13/$D$14</f>
        <v>1</v>
      </c>
    </row>
    <row r="14" spans="1:8" ht="36.75" customHeight="1">
      <c r="B14" s="236" t="s">
        <v>308</v>
      </c>
      <c r="C14" s="236"/>
      <c r="D14" s="12">
        <f>SUM(D12:D13)</f>
        <v>350000</v>
      </c>
      <c r="E14" s="174"/>
    </row>
    <row r="15" spans="1:8" ht="18" customHeight="1">
      <c r="B15" s="3"/>
      <c r="C15" s="3"/>
      <c r="D15" s="14"/>
    </row>
    <row r="16" spans="1:8" ht="84.75" customHeight="1">
      <c r="A16" s="1">
        <v>5</v>
      </c>
      <c r="B16" s="229" t="s">
        <v>55</v>
      </c>
      <c r="C16" s="229"/>
      <c r="D16" s="229"/>
      <c r="E16" s="229"/>
    </row>
    <row r="17" spans="1:5">
      <c r="B17" s="3"/>
      <c r="C17" s="3"/>
      <c r="D17" s="3"/>
      <c r="E17" s="3"/>
    </row>
    <row r="18" spans="1:5" ht="30" customHeight="1">
      <c r="A18" s="1">
        <v>6</v>
      </c>
      <c r="B18" s="237" t="s">
        <v>325</v>
      </c>
      <c r="C18" s="237"/>
      <c r="D18" s="237"/>
      <c r="E18" s="237"/>
    </row>
    <row r="19" spans="1:5">
      <c r="B19" s="3"/>
      <c r="C19" s="3"/>
      <c r="D19" s="3"/>
      <c r="E19" s="3"/>
    </row>
    <row r="20" spans="1:5" ht="33" customHeight="1">
      <c r="A20" s="1">
        <v>7</v>
      </c>
      <c r="B20" s="228" t="s">
        <v>35</v>
      </c>
      <c r="C20" s="228"/>
      <c r="D20" s="228"/>
      <c r="E20" s="228"/>
    </row>
    <row r="21" spans="1:5" ht="14.25" customHeight="1">
      <c r="B21" s="3"/>
      <c r="C21" s="3"/>
      <c r="D21" s="3"/>
      <c r="E21" s="3"/>
    </row>
    <row r="22" spans="1:5" ht="47.25" customHeight="1">
      <c r="A22" s="1">
        <v>8</v>
      </c>
      <c r="B22" s="228" t="s">
        <v>36</v>
      </c>
      <c r="C22" s="228"/>
      <c r="D22" s="228"/>
      <c r="E22" s="228"/>
    </row>
    <row r="23" spans="1:5" ht="15" customHeight="1">
      <c r="B23" s="3"/>
      <c r="C23" s="3"/>
      <c r="D23" s="3"/>
      <c r="E23" s="3"/>
    </row>
    <row r="24" spans="1:5" ht="32.25" customHeight="1">
      <c r="A24" s="1">
        <v>9</v>
      </c>
      <c r="B24" s="228" t="s">
        <v>34</v>
      </c>
      <c r="C24" s="228"/>
      <c r="D24" s="228"/>
      <c r="E24" s="228"/>
    </row>
    <row r="25" spans="1:5" ht="15" customHeight="1">
      <c r="B25" s="3"/>
      <c r="C25" s="3"/>
      <c r="D25" s="3"/>
      <c r="E25" s="3"/>
    </row>
    <row r="26" spans="1:5" ht="33" customHeight="1">
      <c r="A26" s="1">
        <v>10</v>
      </c>
      <c r="B26" s="228" t="s">
        <v>37</v>
      </c>
      <c r="C26" s="228"/>
      <c r="D26" s="228"/>
      <c r="E26" s="228"/>
    </row>
    <row r="27" spans="1:5">
      <c r="B27" s="3"/>
      <c r="C27" s="3"/>
      <c r="D27" s="3"/>
      <c r="E27" s="3"/>
    </row>
    <row r="28" spans="1:5" ht="30" customHeight="1">
      <c r="A28" s="1">
        <v>11</v>
      </c>
      <c r="B28" s="228" t="s">
        <v>38</v>
      </c>
      <c r="C28" s="228"/>
      <c r="D28" s="228"/>
      <c r="E28" s="228"/>
    </row>
    <row r="29" spans="1:5">
      <c r="B29" s="3"/>
      <c r="C29" s="3"/>
      <c r="D29" s="3"/>
      <c r="E29" s="3"/>
    </row>
    <row r="30" spans="1:5" ht="31.5" customHeight="1">
      <c r="A30" s="1">
        <v>12</v>
      </c>
      <c r="B30" s="228" t="s">
        <v>39</v>
      </c>
      <c r="C30" s="228"/>
      <c r="D30" s="228"/>
      <c r="E30" s="228"/>
    </row>
    <row r="31" spans="1:5">
      <c r="B31" s="3"/>
      <c r="C31" s="3"/>
      <c r="D31" s="3"/>
      <c r="E31" s="3"/>
    </row>
    <row r="32" spans="1:5" ht="34.5" customHeight="1">
      <c r="A32" s="1">
        <v>13</v>
      </c>
      <c r="B32" s="228" t="s">
        <v>17</v>
      </c>
      <c r="C32" s="228"/>
      <c r="D32" s="228"/>
      <c r="E32" s="228"/>
    </row>
    <row r="33" spans="1:5" ht="16.5" customHeight="1">
      <c r="B33" s="3"/>
      <c r="C33" s="3"/>
      <c r="D33" s="3"/>
      <c r="E33" s="3"/>
    </row>
    <row r="34" spans="1:5" ht="64.5" customHeight="1">
      <c r="A34" s="1">
        <v>14</v>
      </c>
      <c r="B34" s="228" t="s">
        <v>18</v>
      </c>
      <c r="C34" s="228"/>
      <c r="D34" s="228"/>
      <c r="E34" s="228"/>
    </row>
    <row r="35" spans="1:5" ht="14.25" customHeight="1">
      <c r="B35" s="3"/>
      <c r="C35" s="3"/>
      <c r="D35" s="3"/>
      <c r="E35" s="3"/>
    </row>
    <row r="36" spans="1:5">
      <c r="A36" s="1">
        <v>15</v>
      </c>
      <c r="B36" s="232" t="s">
        <v>32</v>
      </c>
      <c r="C36" s="232"/>
      <c r="D36" s="232"/>
      <c r="E36" s="232"/>
    </row>
    <row r="37" spans="1:5">
      <c r="B37" s="13" t="s">
        <v>7</v>
      </c>
      <c r="C37" s="233" t="s">
        <v>19</v>
      </c>
      <c r="D37" s="233"/>
      <c r="E37" s="233"/>
    </row>
    <row r="38" spans="1:5">
      <c r="B38" s="5" t="s">
        <v>20</v>
      </c>
      <c r="C38" s="234" t="s">
        <v>27</v>
      </c>
      <c r="D38" s="234"/>
      <c r="E38" s="234"/>
    </row>
    <row r="39" spans="1:5">
      <c r="B39" s="13" t="s">
        <v>21</v>
      </c>
      <c r="C39" s="233" t="s">
        <v>28</v>
      </c>
      <c r="D39" s="233"/>
      <c r="E39" s="233"/>
    </row>
    <row r="40" spans="1:5">
      <c r="B40" s="5" t="s">
        <v>22</v>
      </c>
      <c r="C40" s="234" t="s">
        <v>31</v>
      </c>
      <c r="D40" s="234"/>
      <c r="E40" s="234"/>
    </row>
    <row r="41" spans="1:5">
      <c r="B41" s="13" t="s">
        <v>9</v>
      </c>
      <c r="C41" s="233" t="s">
        <v>29</v>
      </c>
      <c r="D41" s="233"/>
      <c r="E41" s="233"/>
    </row>
    <row r="42" spans="1:5">
      <c r="B42" s="5" t="s">
        <v>8</v>
      </c>
      <c r="C42" s="234" t="s">
        <v>23</v>
      </c>
      <c r="D42" s="234"/>
      <c r="E42" s="234"/>
    </row>
    <row r="43" spans="1:5">
      <c r="B43" s="13" t="s">
        <v>24</v>
      </c>
      <c r="C43" s="233" t="s">
        <v>25</v>
      </c>
      <c r="D43" s="233"/>
      <c r="E43" s="233"/>
    </row>
    <row r="44" spans="1:5">
      <c r="B44" s="5" t="s">
        <v>26</v>
      </c>
      <c r="C44" s="234" t="s">
        <v>30</v>
      </c>
      <c r="D44" s="234"/>
      <c r="E44" s="234"/>
    </row>
    <row r="45" spans="1:5">
      <c r="B45" s="5"/>
      <c r="C45" s="6"/>
      <c r="D45" s="6"/>
      <c r="E45" s="6"/>
    </row>
    <row r="46" spans="1:5">
      <c r="A46" s="1">
        <v>16</v>
      </c>
      <c r="B46" s="15" t="s">
        <v>61</v>
      </c>
      <c r="C46" s="6"/>
      <c r="D46" s="6"/>
      <c r="E46" s="6"/>
    </row>
    <row r="47" spans="1:5" ht="30" customHeight="1">
      <c r="B47" s="13" t="s">
        <v>47</v>
      </c>
      <c r="C47" s="233" t="s">
        <v>63</v>
      </c>
      <c r="D47" s="233"/>
      <c r="E47" s="233"/>
    </row>
    <row r="48" spans="1:5">
      <c r="B48" s="5" t="s">
        <v>48</v>
      </c>
      <c r="C48" s="234" t="s">
        <v>62</v>
      </c>
      <c r="D48" s="234"/>
      <c r="E48" s="234"/>
    </row>
    <row r="49" spans="1:5" ht="48.75" customHeight="1">
      <c r="B49" s="13" t="s">
        <v>49</v>
      </c>
      <c r="C49" s="233" t="s">
        <v>65</v>
      </c>
      <c r="D49" s="233"/>
      <c r="E49" s="233"/>
    </row>
    <row r="50" spans="1:5" ht="29.25" customHeight="1">
      <c r="B50" s="5" t="s">
        <v>50</v>
      </c>
      <c r="C50" s="234" t="s">
        <v>64</v>
      </c>
      <c r="D50" s="234"/>
      <c r="E50" s="234"/>
    </row>
    <row r="51" spans="1:5">
      <c r="B51" s="5"/>
      <c r="C51" s="6"/>
      <c r="D51" s="6"/>
      <c r="E51" s="6"/>
    </row>
    <row r="52" spans="1:5" ht="94.5" customHeight="1">
      <c r="A52" s="1">
        <v>17</v>
      </c>
      <c r="B52" s="231" t="s">
        <v>310</v>
      </c>
      <c r="C52" s="231"/>
      <c r="D52" s="231"/>
      <c r="E52" s="231"/>
    </row>
    <row r="54" spans="1:5">
      <c r="B54" s="2"/>
    </row>
    <row r="55" spans="1:5">
      <c r="A55" s="230" t="s">
        <v>235</v>
      </c>
      <c r="B55" s="230"/>
      <c r="C55" s="230"/>
      <c r="D55" s="230"/>
      <c r="E55" s="230"/>
    </row>
    <row r="56" spans="1:5">
      <c r="A56" s="193" t="s">
        <v>236</v>
      </c>
    </row>
  </sheetData>
  <mergeCells count="36">
    <mergeCell ref="C47:E47"/>
    <mergeCell ref="C48:E48"/>
    <mergeCell ref="C50:E50"/>
    <mergeCell ref="C49:E49"/>
    <mergeCell ref="B30:E30"/>
    <mergeCell ref="B32:E32"/>
    <mergeCell ref="B34:E34"/>
    <mergeCell ref="B24:E24"/>
    <mergeCell ref="B1:E1"/>
    <mergeCell ref="B2:E2"/>
    <mergeCell ref="B4:E4"/>
    <mergeCell ref="B16:E16"/>
    <mergeCell ref="B11:C11"/>
    <mergeCell ref="B12:C12"/>
    <mergeCell ref="B14:C14"/>
    <mergeCell ref="B13:C13"/>
    <mergeCell ref="B9:C9"/>
    <mergeCell ref="B10:C10"/>
    <mergeCell ref="B6:E6"/>
    <mergeCell ref="B18:E18"/>
    <mergeCell ref="B26:E26"/>
    <mergeCell ref="B28:E28"/>
    <mergeCell ref="B7:E7"/>
    <mergeCell ref="A55:E55"/>
    <mergeCell ref="B20:E20"/>
    <mergeCell ref="B52:E52"/>
    <mergeCell ref="B36:E36"/>
    <mergeCell ref="C37:E37"/>
    <mergeCell ref="C38:E38"/>
    <mergeCell ref="C39:E39"/>
    <mergeCell ref="C40:E40"/>
    <mergeCell ref="C41:E41"/>
    <mergeCell ref="C42:E42"/>
    <mergeCell ref="C43:E43"/>
    <mergeCell ref="C44:E44"/>
    <mergeCell ref="B22:E22"/>
  </mergeCells>
  <pageMargins left="0.25" right="0.25" top="0.75" bottom="0.75" header="0.3" footer="0.3"/>
  <pageSetup orientation="portrait" horizontalDpi="1200" verticalDpi="1200" r:id="rId1"/>
  <headerFooter>
    <oddHeader>&amp;L&amp;"-,Bold"&amp;12Federal Funds Ledger Notes&amp;RPrinted &amp;D</oddHeader>
    <oddFooter>&amp;L&amp;8&amp;Z&amp;F&amp;C&amp;P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I26"/>
  <sheetViews>
    <sheetView zoomScale="85" zoomScaleNormal="85" workbookViewId="0">
      <selection activeCell="D8" sqref="D8"/>
    </sheetView>
  </sheetViews>
  <sheetFormatPr defaultRowHeight="15"/>
  <cols>
    <col min="2" max="2" width="35" customWidth="1"/>
    <col min="3" max="3" width="14.28515625" bestFit="1" customWidth="1"/>
    <col min="4" max="4" width="13.28515625" bestFit="1" customWidth="1"/>
    <col min="5" max="5" width="14.28515625" bestFit="1" customWidth="1"/>
    <col min="6" max="6" width="11.85546875" bestFit="1" customWidth="1"/>
    <col min="8" max="8" width="35" customWidth="1"/>
    <col min="9" max="9" width="14.28515625" bestFit="1" customWidth="1"/>
    <col min="10" max="10" width="13.28515625" bestFit="1" customWidth="1"/>
    <col min="11" max="11" width="14.28515625" bestFit="1" customWidth="1"/>
    <col min="12" max="12" width="11.85546875" bestFit="1" customWidth="1"/>
    <col min="14" max="14" width="35" customWidth="1"/>
    <col min="15" max="15" width="14.28515625" bestFit="1" customWidth="1"/>
    <col min="16" max="16" width="14.5703125" bestFit="1" customWidth="1"/>
    <col min="17" max="17" width="14.28515625" bestFit="1" customWidth="1"/>
    <col min="18" max="18" width="11.85546875" bestFit="1" customWidth="1"/>
    <col min="20" max="20" width="35" customWidth="1"/>
    <col min="21" max="21" width="14.28515625" bestFit="1" customWidth="1"/>
    <col min="22" max="22" width="18.7109375" bestFit="1" customWidth="1"/>
    <col min="23" max="23" width="14.28515625" bestFit="1" customWidth="1"/>
    <col min="24" max="24" width="11.85546875" bestFit="1" customWidth="1"/>
    <col min="26" max="26" width="41.7109375" customWidth="1"/>
    <col min="27" max="29" width="14.28515625" customWidth="1"/>
    <col min="32" max="32" width="41.7109375" customWidth="1"/>
    <col min="33" max="35" width="14.28515625" customWidth="1"/>
  </cols>
  <sheetData>
    <row r="1" spans="1:35" ht="40.5" customHeight="1" thickBot="1">
      <c r="A1" s="242" t="s">
        <v>161</v>
      </c>
      <c r="B1" s="243"/>
      <c r="C1" s="245" t="s">
        <v>309</v>
      </c>
      <c r="D1" s="246"/>
      <c r="E1" s="247"/>
      <c r="G1" s="242" t="s">
        <v>161</v>
      </c>
      <c r="H1" s="243"/>
      <c r="I1" s="245" t="s">
        <v>244</v>
      </c>
      <c r="J1" s="246"/>
      <c r="K1" s="247"/>
      <c r="M1" s="242" t="s">
        <v>161</v>
      </c>
      <c r="N1" s="243"/>
      <c r="O1" s="197" t="s">
        <v>234</v>
      </c>
      <c r="P1" s="198"/>
      <c r="Q1" s="199"/>
      <c r="S1" s="242" t="s">
        <v>161</v>
      </c>
      <c r="T1" s="243"/>
      <c r="U1" s="197" t="s">
        <v>209</v>
      </c>
      <c r="V1" s="198"/>
      <c r="W1" s="199"/>
      <c r="Y1" s="242" t="s">
        <v>161</v>
      </c>
      <c r="Z1" s="244"/>
      <c r="AA1" s="118" t="s">
        <v>210</v>
      </c>
      <c r="AB1" s="119"/>
      <c r="AC1" s="141"/>
      <c r="AE1" s="242" t="s">
        <v>161</v>
      </c>
      <c r="AF1" s="244"/>
      <c r="AG1" s="118" t="s">
        <v>173</v>
      </c>
      <c r="AH1" s="119"/>
      <c r="AI1" s="141"/>
    </row>
    <row r="2" spans="1:35">
      <c r="A2" s="120" t="s">
        <v>162</v>
      </c>
      <c r="B2" s="137" t="s">
        <v>163</v>
      </c>
      <c r="C2" s="200" t="s">
        <v>158</v>
      </c>
      <c r="D2" s="201" t="s">
        <v>159</v>
      </c>
      <c r="E2" s="202" t="s">
        <v>10</v>
      </c>
      <c r="G2" s="120" t="s">
        <v>162</v>
      </c>
      <c r="H2" s="137" t="s">
        <v>163</v>
      </c>
      <c r="I2" s="200" t="s">
        <v>158</v>
      </c>
      <c r="J2" s="201" t="s">
        <v>159</v>
      </c>
      <c r="K2" s="202" t="s">
        <v>10</v>
      </c>
      <c r="M2" s="120" t="s">
        <v>162</v>
      </c>
      <c r="N2" s="137" t="s">
        <v>163</v>
      </c>
      <c r="O2" s="200" t="s">
        <v>158</v>
      </c>
      <c r="P2" s="201" t="s">
        <v>159</v>
      </c>
      <c r="Q2" s="202" t="s">
        <v>10</v>
      </c>
      <c r="S2" s="120" t="s">
        <v>162</v>
      </c>
      <c r="T2" s="137" t="s">
        <v>163</v>
      </c>
      <c r="U2" s="200" t="s">
        <v>158</v>
      </c>
      <c r="V2" s="201" t="s">
        <v>159</v>
      </c>
      <c r="W2" s="202" t="s">
        <v>10</v>
      </c>
      <c r="Y2" s="120" t="s">
        <v>162</v>
      </c>
      <c r="Z2" s="121" t="s">
        <v>163</v>
      </c>
      <c r="AA2" s="112" t="s">
        <v>158</v>
      </c>
      <c r="AB2" s="113" t="s">
        <v>159</v>
      </c>
      <c r="AC2" s="142" t="s">
        <v>10</v>
      </c>
      <c r="AE2" s="120" t="s">
        <v>162</v>
      </c>
      <c r="AF2" s="121" t="s">
        <v>163</v>
      </c>
      <c r="AG2" s="112" t="s">
        <v>158</v>
      </c>
      <c r="AH2" s="113" t="s">
        <v>159</v>
      </c>
      <c r="AI2" s="142" t="s">
        <v>10</v>
      </c>
    </row>
    <row r="3" spans="1:35">
      <c r="A3" s="114" t="s">
        <v>164</v>
      </c>
      <c r="B3" s="138" t="s">
        <v>165</v>
      </c>
      <c r="C3" s="114"/>
      <c r="D3" s="187">
        <v>350000</v>
      </c>
      <c r="E3" s="203">
        <f>+D3+C3</f>
        <v>350000</v>
      </c>
      <c r="G3" s="114" t="s">
        <v>164</v>
      </c>
      <c r="H3" s="138" t="s">
        <v>165</v>
      </c>
      <c r="I3" s="114"/>
      <c r="J3" s="187">
        <v>350000</v>
      </c>
      <c r="K3" s="203">
        <f>+J3+I3</f>
        <v>350000</v>
      </c>
      <c r="M3" s="114" t="s">
        <v>164</v>
      </c>
      <c r="N3" s="138" t="s">
        <v>165</v>
      </c>
      <c r="O3" s="114"/>
      <c r="P3" s="187">
        <v>350000</v>
      </c>
      <c r="Q3" s="203">
        <f>+P3+O3</f>
        <v>350000</v>
      </c>
      <c r="S3" s="114" t="s">
        <v>164</v>
      </c>
      <c r="T3" s="138" t="s">
        <v>165</v>
      </c>
      <c r="U3" s="114"/>
      <c r="V3" s="115">
        <v>350000</v>
      </c>
      <c r="W3" s="203">
        <f>+V3+U3</f>
        <v>350000</v>
      </c>
      <c r="Y3" s="114" t="s">
        <v>164</v>
      </c>
      <c r="Z3" s="122" t="s">
        <v>165</v>
      </c>
      <c r="AA3" s="116"/>
      <c r="AB3" s="117">
        <v>350000</v>
      </c>
      <c r="AC3" s="143">
        <f>+AB3+AA3</f>
        <v>350000</v>
      </c>
      <c r="AE3" s="114" t="s">
        <v>164</v>
      </c>
      <c r="AF3" s="122" t="s">
        <v>165</v>
      </c>
      <c r="AG3" s="117">
        <f>IF(C3-O3&lt;&gt;0,C3-O3, )</f>
        <v>0</v>
      </c>
      <c r="AH3" s="117">
        <f>IF(D3-P3&lt;&gt;0,D3-P3, )</f>
        <v>0</v>
      </c>
      <c r="AI3" s="143">
        <f>SUM(AG3:AH3)</f>
        <v>0</v>
      </c>
    </row>
    <row r="4" spans="1:35">
      <c r="A4" s="114" t="s">
        <v>164</v>
      </c>
      <c r="B4" s="138" t="s">
        <v>166</v>
      </c>
      <c r="C4" s="189">
        <f>1350309-C5</f>
        <v>1316551</v>
      </c>
      <c r="D4" s="115"/>
      <c r="E4" s="203">
        <f t="shared" ref="E4:E18" si="0">+D4+C4</f>
        <v>1316551</v>
      </c>
      <c r="G4" s="114" t="s">
        <v>164</v>
      </c>
      <c r="H4" s="138" t="s">
        <v>166</v>
      </c>
      <c r="I4" s="189">
        <f>1323831-I5</f>
        <v>1290735.23</v>
      </c>
      <c r="J4" s="115"/>
      <c r="K4" s="203">
        <f t="shared" ref="K4:K18" si="1">+J4+I4</f>
        <v>1290735.23</v>
      </c>
      <c r="M4" s="114" t="s">
        <v>164</v>
      </c>
      <c r="N4" s="138" t="s">
        <v>166</v>
      </c>
      <c r="O4" s="189">
        <f>1297873-O5</f>
        <v>1265426.175</v>
      </c>
      <c r="P4" s="115"/>
      <c r="Q4" s="203">
        <f t="shared" ref="Q4:Q18" si="2">+P4+O4</f>
        <v>1265426.175</v>
      </c>
      <c r="S4" s="114" t="s">
        <v>164</v>
      </c>
      <c r="T4" s="138" t="s">
        <v>166</v>
      </c>
      <c r="U4" s="114">
        <v>1270509</v>
      </c>
      <c r="V4" s="115"/>
      <c r="W4" s="203">
        <f t="shared" ref="W4:W18" si="3">+V4+U4</f>
        <v>1270509</v>
      </c>
      <c r="Y4" s="114" t="s">
        <v>164</v>
      </c>
      <c r="Z4" s="122" t="s">
        <v>166</v>
      </c>
      <c r="AA4" s="114">
        <v>1245596</v>
      </c>
      <c r="AB4" s="115"/>
      <c r="AC4" s="143">
        <f t="shared" ref="AC4:AC18" si="4">+AB4+AA4</f>
        <v>1245596</v>
      </c>
      <c r="AE4" s="114" t="s">
        <v>164</v>
      </c>
      <c r="AF4" s="122" t="s">
        <v>166</v>
      </c>
      <c r="AG4" s="117">
        <f t="shared" ref="AG4:AG19" si="5">IF(C4-O4&lt;&gt;0,C4-O4, )</f>
        <v>51124.824999999953</v>
      </c>
      <c r="AH4" s="117">
        <f t="shared" ref="AH4:AH19" si="6">IF(D4-P4&lt;&gt;0,D4-P4, )</f>
        <v>0</v>
      </c>
      <c r="AI4" s="143">
        <f t="shared" ref="AI4:AI18" si="7">SUM(AG4:AH4)</f>
        <v>51124.824999999953</v>
      </c>
    </row>
    <row r="5" spans="1:35">
      <c r="A5" s="114" t="s">
        <v>164</v>
      </c>
      <c r="B5" s="138" t="s">
        <v>175</v>
      </c>
      <c r="C5" s="189">
        <v>33758</v>
      </c>
      <c r="D5" s="115"/>
      <c r="E5" s="203">
        <f t="shared" si="0"/>
        <v>33758</v>
      </c>
      <c r="G5" s="114" t="s">
        <v>164</v>
      </c>
      <c r="H5" s="138" t="s">
        <v>175</v>
      </c>
      <c r="I5" s="189">
        <v>33095.769999999997</v>
      </c>
      <c r="J5" s="115"/>
      <c r="K5" s="203">
        <f t="shared" si="1"/>
        <v>33095.769999999997</v>
      </c>
      <c r="M5" s="114" t="s">
        <v>164</v>
      </c>
      <c r="N5" s="138" t="s">
        <v>175</v>
      </c>
      <c r="O5" s="189">
        <v>32446.825000000001</v>
      </c>
      <c r="P5" s="115"/>
      <c r="Q5" s="203">
        <f t="shared" si="2"/>
        <v>32446.825000000001</v>
      </c>
      <c r="S5" s="114" t="s">
        <v>164</v>
      </c>
      <c r="T5" s="138" t="s">
        <v>175</v>
      </c>
      <c r="U5" s="114">
        <v>32577</v>
      </c>
      <c r="V5" s="115"/>
      <c r="W5" s="203">
        <f t="shared" si="3"/>
        <v>32577</v>
      </c>
      <c r="Y5" s="114" t="s">
        <v>164</v>
      </c>
      <c r="Z5" s="138" t="s">
        <v>175</v>
      </c>
      <c r="AA5" s="114">
        <v>31938</v>
      </c>
      <c r="AB5" s="115"/>
      <c r="AC5" s="143">
        <f t="shared" si="4"/>
        <v>31938</v>
      </c>
      <c r="AE5" s="114" t="s">
        <v>164</v>
      </c>
      <c r="AF5" s="138" t="s">
        <v>175</v>
      </c>
      <c r="AG5" s="117">
        <f t="shared" si="5"/>
        <v>1311.1749999999993</v>
      </c>
      <c r="AH5" s="117">
        <f t="shared" si="6"/>
        <v>0</v>
      </c>
      <c r="AI5" s="143">
        <f t="shared" si="7"/>
        <v>1311.1749999999993</v>
      </c>
    </row>
    <row r="6" spans="1:35">
      <c r="A6" s="114" t="s">
        <v>164</v>
      </c>
      <c r="B6" s="138" t="s">
        <v>190</v>
      </c>
      <c r="C6" s="189">
        <v>15956592</v>
      </c>
      <c r="D6" s="115"/>
      <c r="E6" s="203">
        <f t="shared" si="0"/>
        <v>15956592</v>
      </c>
      <c r="G6" s="114" t="s">
        <v>164</v>
      </c>
      <c r="H6" s="138" t="s">
        <v>190</v>
      </c>
      <c r="I6" s="189">
        <v>15643717</v>
      </c>
      <c r="J6" s="115"/>
      <c r="K6" s="203">
        <f t="shared" si="1"/>
        <v>15643717</v>
      </c>
      <c r="M6" s="114" t="s">
        <v>164</v>
      </c>
      <c r="N6" s="138" t="s">
        <v>190</v>
      </c>
      <c r="O6" s="189">
        <v>15337014</v>
      </c>
      <c r="P6" s="115"/>
      <c r="Q6" s="203">
        <f t="shared" si="2"/>
        <v>15337014</v>
      </c>
      <c r="S6" s="114" t="s">
        <v>164</v>
      </c>
      <c r="T6" s="138" t="s">
        <v>190</v>
      </c>
      <c r="U6" s="114">
        <v>16202655</v>
      </c>
      <c r="V6" s="115"/>
      <c r="W6" s="203">
        <f t="shared" si="3"/>
        <v>16202655</v>
      </c>
      <c r="Y6" s="114" t="s">
        <v>164</v>
      </c>
      <c r="Z6" s="138" t="s">
        <v>190</v>
      </c>
      <c r="AA6" s="114">
        <v>15884956</v>
      </c>
      <c r="AB6" s="115"/>
      <c r="AC6" s="143">
        <f t="shared" si="4"/>
        <v>15884956</v>
      </c>
      <c r="AE6" s="114" t="s">
        <v>164</v>
      </c>
      <c r="AF6" s="138" t="s">
        <v>190</v>
      </c>
      <c r="AG6" s="117">
        <f t="shared" si="5"/>
        <v>619578</v>
      </c>
      <c r="AH6" s="117">
        <f t="shared" si="6"/>
        <v>0</v>
      </c>
      <c r="AI6" s="143">
        <f t="shared" si="7"/>
        <v>619578</v>
      </c>
    </row>
    <row r="7" spans="1:35">
      <c r="A7" s="114" t="s">
        <v>164</v>
      </c>
      <c r="B7" s="138" t="s">
        <v>187</v>
      </c>
      <c r="C7" s="114"/>
      <c r="D7" s="115"/>
      <c r="E7" s="203">
        <f t="shared" si="0"/>
        <v>0</v>
      </c>
      <c r="G7" s="114" t="s">
        <v>164</v>
      </c>
      <c r="H7" s="138" t="s">
        <v>187</v>
      </c>
      <c r="I7" s="114"/>
      <c r="J7" s="115"/>
      <c r="K7" s="203">
        <f t="shared" si="1"/>
        <v>0</v>
      </c>
      <c r="M7" s="114" t="s">
        <v>164</v>
      </c>
      <c r="N7" s="138" t="s">
        <v>187</v>
      </c>
      <c r="O7" s="114"/>
      <c r="P7" s="115"/>
      <c r="Q7" s="203">
        <f t="shared" si="2"/>
        <v>0</v>
      </c>
      <c r="S7" s="114" t="s">
        <v>164</v>
      </c>
      <c r="T7" s="138" t="s">
        <v>187</v>
      </c>
      <c r="U7" s="114"/>
      <c r="V7" s="115"/>
      <c r="W7" s="203">
        <f t="shared" si="3"/>
        <v>0</v>
      </c>
      <c r="Y7" s="114" t="s">
        <v>164</v>
      </c>
      <c r="Z7" s="138" t="s">
        <v>187</v>
      </c>
      <c r="AA7" s="114"/>
      <c r="AB7" s="115"/>
      <c r="AC7" s="143">
        <f t="shared" si="4"/>
        <v>0</v>
      </c>
      <c r="AE7" s="114" t="s">
        <v>164</v>
      </c>
      <c r="AF7" s="138" t="s">
        <v>187</v>
      </c>
      <c r="AG7" s="117">
        <f t="shared" si="5"/>
        <v>0</v>
      </c>
      <c r="AH7" s="117">
        <f t="shared" si="6"/>
        <v>0</v>
      </c>
      <c r="AI7" s="143">
        <f t="shared" si="7"/>
        <v>0</v>
      </c>
    </row>
    <row r="8" spans="1:35">
      <c r="A8" s="114" t="s">
        <v>164</v>
      </c>
      <c r="B8" s="138" t="s">
        <v>195</v>
      </c>
      <c r="C8" s="114"/>
      <c r="D8" s="187">
        <v>2647077</v>
      </c>
      <c r="E8" s="203">
        <f t="shared" si="0"/>
        <v>2647077</v>
      </c>
      <c r="G8" s="114" t="s">
        <v>164</v>
      </c>
      <c r="H8" s="138" t="s">
        <v>195</v>
      </c>
      <c r="I8" s="114"/>
      <c r="J8" s="187">
        <v>2647077</v>
      </c>
      <c r="K8" s="203">
        <f t="shared" si="1"/>
        <v>2647077</v>
      </c>
      <c r="M8" s="114" t="s">
        <v>164</v>
      </c>
      <c r="N8" s="138" t="s">
        <v>195</v>
      </c>
      <c r="O8" s="114"/>
      <c r="P8" s="187">
        <v>3015751</v>
      </c>
      <c r="Q8" s="203">
        <f t="shared" si="2"/>
        <v>3015751</v>
      </c>
      <c r="S8" s="114" t="s">
        <v>164</v>
      </c>
      <c r="T8" s="138" t="s">
        <v>195</v>
      </c>
      <c r="U8" s="114"/>
      <c r="V8" s="115">
        <v>3015751</v>
      </c>
      <c r="W8" s="203">
        <f t="shared" si="3"/>
        <v>3015751</v>
      </c>
      <c r="Y8" s="114" t="s">
        <v>164</v>
      </c>
      <c r="Z8" s="138" t="s">
        <v>195</v>
      </c>
      <c r="AA8" s="114"/>
      <c r="AB8" s="115">
        <v>3015751</v>
      </c>
      <c r="AC8" s="143">
        <f t="shared" si="4"/>
        <v>3015751</v>
      </c>
      <c r="AE8" s="114" t="s">
        <v>164</v>
      </c>
      <c r="AF8" s="138" t="s">
        <v>195</v>
      </c>
      <c r="AG8" s="117">
        <f t="shared" si="5"/>
        <v>0</v>
      </c>
      <c r="AH8" s="117">
        <f t="shared" si="6"/>
        <v>-368674</v>
      </c>
      <c r="AI8" s="143">
        <f t="shared" si="7"/>
        <v>-368674</v>
      </c>
    </row>
    <row r="9" spans="1:35">
      <c r="A9" s="114" t="s">
        <v>164</v>
      </c>
      <c r="B9" s="138" t="s">
        <v>188</v>
      </c>
      <c r="C9" s="114"/>
      <c r="D9" s="187">
        <v>2770526</v>
      </c>
      <c r="E9" s="203">
        <f t="shared" si="0"/>
        <v>2770526</v>
      </c>
      <c r="G9" s="114" t="s">
        <v>164</v>
      </c>
      <c r="H9" s="138" t="s">
        <v>188</v>
      </c>
      <c r="I9" s="114"/>
      <c r="J9" s="187">
        <v>2770526</v>
      </c>
      <c r="K9" s="203">
        <f t="shared" si="1"/>
        <v>2770526</v>
      </c>
      <c r="M9" s="114" t="s">
        <v>164</v>
      </c>
      <c r="N9" s="138" t="s">
        <v>188</v>
      </c>
      <c r="O9" s="114"/>
      <c r="P9" s="187">
        <v>2401852</v>
      </c>
      <c r="Q9" s="203">
        <f t="shared" si="2"/>
        <v>2401852</v>
      </c>
      <c r="S9" s="114" t="s">
        <v>164</v>
      </c>
      <c r="T9" s="138" t="s">
        <v>188</v>
      </c>
      <c r="U9" s="114"/>
      <c r="V9" s="115">
        <v>2401852</v>
      </c>
      <c r="W9" s="203">
        <f t="shared" si="3"/>
        <v>2401852</v>
      </c>
      <c r="Y9" s="114" t="s">
        <v>164</v>
      </c>
      <c r="Z9" s="138" t="s">
        <v>188</v>
      </c>
      <c r="AA9" s="114"/>
      <c r="AB9" s="115">
        <v>2401852</v>
      </c>
      <c r="AC9" s="143">
        <f t="shared" si="4"/>
        <v>2401852</v>
      </c>
      <c r="AE9" s="114" t="s">
        <v>164</v>
      </c>
      <c r="AF9" s="138" t="s">
        <v>188</v>
      </c>
      <c r="AG9" s="117">
        <f t="shared" si="5"/>
        <v>0</v>
      </c>
      <c r="AH9" s="117">
        <f t="shared" si="6"/>
        <v>368674</v>
      </c>
      <c r="AI9" s="143">
        <f t="shared" si="7"/>
        <v>368674</v>
      </c>
    </row>
    <row r="10" spans="1:35">
      <c r="A10" s="114" t="s">
        <v>164</v>
      </c>
      <c r="B10" s="138" t="s">
        <v>189</v>
      </c>
      <c r="C10" s="114"/>
      <c r="D10" s="115"/>
      <c r="E10" s="203">
        <f t="shared" si="0"/>
        <v>0</v>
      </c>
      <c r="G10" s="114" t="s">
        <v>164</v>
      </c>
      <c r="H10" s="138" t="s">
        <v>189</v>
      </c>
      <c r="I10" s="114"/>
      <c r="J10" s="115"/>
      <c r="K10" s="203">
        <f t="shared" si="1"/>
        <v>0</v>
      </c>
      <c r="M10" s="114" t="s">
        <v>164</v>
      </c>
      <c r="N10" s="138" t="s">
        <v>189</v>
      </c>
      <c r="O10" s="114"/>
      <c r="P10" s="115"/>
      <c r="Q10" s="203">
        <f t="shared" si="2"/>
        <v>0</v>
      </c>
      <c r="S10" s="114" t="s">
        <v>164</v>
      </c>
      <c r="T10" s="138" t="s">
        <v>189</v>
      </c>
      <c r="U10" s="114"/>
      <c r="V10" s="115"/>
      <c r="W10" s="203">
        <f t="shared" si="3"/>
        <v>0</v>
      </c>
      <c r="Y10" s="114" t="s">
        <v>164</v>
      </c>
      <c r="Z10" s="138" t="s">
        <v>189</v>
      </c>
      <c r="AA10" s="114"/>
      <c r="AB10" s="115"/>
      <c r="AC10" s="143">
        <f t="shared" si="4"/>
        <v>0</v>
      </c>
      <c r="AE10" s="114" t="s">
        <v>164</v>
      </c>
      <c r="AF10" s="138" t="s">
        <v>189</v>
      </c>
      <c r="AG10" s="117">
        <f t="shared" si="5"/>
        <v>0</v>
      </c>
      <c r="AH10" s="117">
        <f t="shared" si="6"/>
        <v>0</v>
      </c>
      <c r="AI10" s="143">
        <f t="shared" si="7"/>
        <v>0</v>
      </c>
    </row>
    <row r="11" spans="1:35">
      <c r="A11" s="114" t="s">
        <v>164</v>
      </c>
      <c r="B11" s="138" t="s">
        <v>191</v>
      </c>
      <c r="C11" s="189">
        <v>2114499</v>
      </c>
      <c r="D11" s="115"/>
      <c r="E11" s="203">
        <f t="shared" si="0"/>
        <v>2114499</v>
      </c>
      <c r="G11" s="114" t="s">
        <v>164</v>
      </c>
      <c r="H11" s="138" t="s">
        <v>191</v>
      </c>
      <c r="I11" s="189">
        <v>2070298</v>
      </c>
      <c r="J11" s="115"/>
      <c r="K11" s="203">
        <f t="shared" si="1"/>
        <v>2070298</v>
      </c>
      <c r="M11" s="114" t="s">
        <v>164</v>
      </c>
      <c r="N11" s="138" t="s">
        <v>191</v>
      </c>
      <c r="O11" s="189">
        <v>2024131</v>
      </c>
      <c r="P11" s="115"/>
      <c r="Q11" s="203">
        <f t="shared" si="2"/>
        <v>2024131</v>
      </c>
      <c r="S11" s="114" t="s">
        <v>164</v>
      </c>
      <c r="T11" s="138" t="s">
        <v>191</v>
      </c>
      <c r="U11" s="114">
        <v>2138421</v>
      </c>
      <c r="V11" s="115"/>
      <c r="W11" s="203">
        <f t="shared" si="3"/>
        <v>2138421</v>
      </c>
      <c r="Y11" s="114" t="s">
        <v>164</v>
      </c>
      <c r="Z11" s="138" t="s">
        <v>191</v>
      </c>
      <c r="AA11" s="114">
        <v>2093538</v>
      </c>
      <c r="AB11" s="115"/>
      <c r="AC11" s="143">
        <f t="shared" si="4"/>
        <v>2093538</v>
      </c>
      <c r="AE11" s="114" t="s">
        <v>164</v>
      </c>
      <c r="AF11" s="138" t="s">
        <v>191</v>
      </c>
      <c r="AG11" s="117">
        <f t="shared" si="5"/>
        <v>90368</v>
      </c>
      <c r="AH11" s="117">
        <f t="shared" si="6"/>
        <v>0</v>
      </c>
      <c r="AI11" s="143">
        <f t="shared" si="7"/>
        <v>90368</v>
      </c>
    </row>
    <row r="12" spans="1:35">
      <c r="A12" s="114" t="s">
        <v>164</v>
      </c>
      <c r="B12" s="138" t="s">
        <v>192</v>
      </c>
      <c r="C12" s="114"/>
      <c r="D12" s="115"/>
      <c r="E12" s="203">
        <f t="shared" si="0"/>
        <v>0</v>
      </c>
      <c r="G12" s="114" t="s">
        <v>164</v>
      </c>
      <c r="H12" s="138" t="s">
        <v>192</v>
      </c>
      <c r="I12" s="114"/>
      <c r="J12" s="115"/>
      <c r="K12" s="203">
        <f t="shared" si="1"/>
        <v>0</v>
      </c>
      <c r="M12" s="114" t="s">
        <v>164</v>
      </c>
      <c r="N12" s="138" t="s">
        <v>192</v>
      </c>
      <c r="O12" s="114"/>
      <c r="P12" s="115"/>
      <c r="Q12" s="203">
        <f t="shared" si="2"/>
        <v>0</v>
      </c>
      <c r="S12" s="114" t="s">
        <v>164</v>
      </c>
      <c r="T12" s="138" t="s">
        <v>192</v>
      </c>
      <c r="U12" s="114"/>
      <c r="V12" s="115"/>
      <c r="W12" s="203">
        <f t="shared" si="3"/>
        <v>0</v>
      </c>
      <c r="Y12" s="114" t="s">
        <v>164</v>
      </c>
      <c r="Z12" s="138" t="s">
        <v>192</v>
      </c>
      <c r="AA12" s="114"/>
      <c r="AB12" s="115"/>
      <c r="AC12" s="143">
        <f t="shared" si="4"/>
        <v>0</v>
      </c>
      <c r="AE12" s="114" t="s">
        <v>164</v>
      </c>
      <c r="AF12" s="138" t="s">
        <v>192</v>
      </c>
      <c r="AG12" s="117">
        <f t="shared" si="5"/>
        <v>0</v>
      </c>
      <c r="AH12" s="117">
        <f t="shared" si="6"/>
        <v>0</v>
      </c>
      <c r="AI12" s="143">
        <f t="shared" si="7"/>
        <v>0</v>
      </c>
    </row>
    <row r="13" spans="1:35">
      <c r="A13" s="114" t="s">
        <v>164</v>
      </c>
      <c r="B13" s="138" t="s">
        <v>193</v>
      </c>
      <c r="C13" s="114"/>
      <c r="D13" s="188">
        <f>ROUND(207502.945296791,0)</f>
        <v>207503</v>
      </c>
      <c r="E13" s="203">
        <f t="shared" si="0"/>
        <v>207503</v>
      </c>
      <c r="G13" s="114" t="s">
        <v>164</v>
      </c>
      <c r="H13" s="138" t="s">
        <v>193</v>
      </c>
      <c r="I13" s="114"/>
      <c r="J13" s="188">
        <v>203165.34786146303</v>
      </c>
      <c r="K13" s="203">
        <f t="shared" si="1"/>
        <v>203165.34786146303</v>
      </c>
      <c r="M13" s="114" t="s">
        <v>164</v>
      </c>
      <c r="N13" s="138" t="s">
        <v>193</v>
      </c>
      <c r="O13" s="114"/>
      <c r="P13" s="188">
        <v>155843</v>
      </c>
      <c r="Q13" s="203">
        <f t="shared" si="2"/>
        <v>155843</v>
      </c>
      <c r="S13" s="114" t="s">
        <v>164</v>
      </c>
      <c r="T13" s="138" t="s">
        <v>193</v>
      </c>
      <c r="U13" s="114"/>
      <c r="V13" s="115">
        <v>155843</v>
      </c>
      <c r="W13" s="203">
        <f t="shared" si="3"/>
        <v>155843</v>
      </c>
      <c r="Y13" s="114" t="s">
        <v>164</v>
      </c>
      <c r="Z13" s="138" t="s">
        <v>193</v>
      </c>
      <c r="AA13" s="114"/>
      <c r="AB13" s="115">
        <v>152572</v>
      </c>
      <c r="AC13" s="143">
        <f t="shared" si="4"/>
        <v>152572</v>
      </c>
      <c r="AE13" s="114" t="s">
        <v>164</v>
      </c>
      <c r="AF13" s="138" t="s">
        <v>193</v>
      </c>
      <c r="AG13" s="117">
        <f t="shared" si="5"/>
        <v>0</v>
      </c>
      <c r="AH13" s="117">
        <f t="shared" si="6"/>
        <v>51660</v>
      </c>
      <c r="AI13" s="143">
        <f t="shared" si="7"/>
        <v>51660</v>
      </c>
    </row>
    <row r="14" spans="1:35">
      <c r="A14" s="114" t="s">
        <v>164</v>
      </c>
      <c r="B14" s="138" t="s">
        <v>194</v>
      </c>
      <c r="C14" s="114"/>
      <c r="D14" s="115"/>
      <c r="E14" s="203">
        <f t="shared" si="0"/>
        <v>0</v>
      </c>
      <c r="G14" s="114" t="s">
        <v>164</v>
      </c>
      <c r="H14" s="138" t="s">
        <v>194</v>
      </c>
      <c r="I14" s="114"/>
      <c r="J14" s="115"/>
      <c r="K14" s="203">
        <f t="shared" si="1"/>
        <v>0</v>
      </c>
      <c r="M14" s="114" t="s">
        <v>164</v>
      </c>
      <c r="N14" s="138" t="s">
        <v>194</v>
      </c>
      <c r="O14" s="114"/>
      <c r="P14" s="115"/>
      <c r="Q14" s="203">
        <f t="shared" si="2"/>
        <v>0</v>
      </c>
      <c r="S14" s="114" t="s">
        <v>164</v>
      </c>
      <c r="T14" s="138" t="s">
        <v>194</v>
      </c>
      <c r="U14" s="114"/>
      <c r="V14" s="115"/>
      <c r="W14" s="203">
        <f t="shared" si="3"/>
        <v>0</v>
      </c>
      <c r="Y14" s="114" t="s">
        <v>164</v>
      </c>
      <c r="Z14" s="138" t="s">
        <v>194</v>
      </c>
      <c r="AA14" s="114"/>
      <c r="AB14" s="115"/>
      <c r="AC14" s="143">
        <f t="shared" si="4"/>
        <v>0</v>
      </c>
      <c r="AE14" s="114" t="s">
        <v>164</v>
      </c>
      <c r="AF14" s="138" t="s">
        <v>194</v>
      </c>
      <c r="AG14" s="117">
        <f t="shared" si="5"/>
        <v>0</v>
      </c>
      <c r="AH14" s="117">
        <f t="shared" si="6"/>
        <v>0</v>
      </c>
      <c r="AI14" s="143">
        <f t="shared" si="7"/>
        <v>0</v>
      </c>
    </row>
    <row r="15" spans="1:35">
      <c r="A15" s="114" t="s">
        <v>164</v>
      </c>
      <c r="B15" s="138" t="s">
        <v>199</v>
      </c>
      <c r="C15" s="114"/>
      <c r="D15" s="188">
        <f>ROUND(198256.975391121,0)</f>
        <v>198257</v>
      </c>
      <c r="E15" s="203">
        <f t="shared" si="0"/>
        <v>198257</v>
      </c>
      <c r="G15" s="114" t="s">
        <v>164</v>
      </c>
      <c r="H15" s="138" t="s">
        <v>199</v>
      </c>
      <c r="I15" s="114"/>
      <c r="J15" s="188">
        <v>194112.63753751593</v>
      </c>
      <c r="K15" s="203">
        <f t="shared" si="1"/>
        <v>194112.63753751593</v>
      </c>
      <c r="M15" s="114" t="s">
        <v>164</v>
      </c>
      <c r="N15" s="138" t="s">
        <v>199</v>
      </c>
      <c r="O15" s="114"/>
      <c r="P15" s="188">
        <v>191973</v>
      </c>
      <c r="Q15" s="203">
        <f t="shared" si="2"/>
        <v>191973</v>
      </c>
      <c r="S15" s="114" t="s">
        <v>164</v>
      </c>
      <c r="T15" s="138" t="s">
        <v>199</v>
      </c>
      <c r="U15" s="114"/>
      <c r="V15" s="115">
        <v>191973</v>
      </c>
      <c r="W15" s="203">
        <f t="shared" si="3"/>
        <v>191973</v>
      </c>
      <c r="Y15" s="114" t="s">
        <v>164</v>
      </c>
      <c r="Z15" s="138" t="s">
        <v>199</v>
      </c>
      <c r="AA15" s="114"/>
      <c r="AB15" s="115">
        <v>187944</v>
      </c>
      <c r="AC15" s="143">
        <f t="shared" si="4"/>
        <v>187944</v>
      </c>
      <c r="AE15" s="114" t="s">
        <v>164</v>
      </c>
      <c r="AF15" s="138" t="s">
        <v>199</v>
      </c>
      <c r="AG15" s="117">
        <f t="shared" si="5"/>
        <v>0</v>
      </c>
      <c r="AH15" s="117">
        <f t="shared" si="6"/>
        <v>6284</v>
      </c>
      <c r="AI15" s="143">
        <f t="shared" si="7"/>
        <v>6284</v>
      </c>
    </row>
    <row r="16" spans="1:35">
      <c r="A16" s="114" t="s">
        <v>164</v>
      </c>
      <c r="B16" s="138" t="s">
        <v>198</v>
      </c>
      <c r="C16" s="189">
        <v>1941766</v>
      </c>
      <c r="D16" s="115"/>
      <c r="E16" s="203">
        <f t="shared" si="0"/>
        <v>1941766</v>
      </c>
      <c r="G16" s="114" t="s">
        <v>164</v>
      </c>
      <c r="H16" s="138" t="s">
        <v>198</v>
      </c>
      <c r="I16" s="189">
        <v>1903692</v>
      </c>
      <c r="J16" s="115"/>
      <c r="K16" s="203">
        <f t="shared" si="1"/>
        <v>1903692</v>
      </c>
      <c r="M16" s="114" t="s">
        <v>164</v>
      </c>
      <c r="N16" s="138" t="s">
        <v>198</v>
      </c>
      <c r="O16" s="189">
        <v>1866365</v>
      </c>
      <c r="P16" s="115"/>
      <c r="Q16" s="203">
        <f t="shared" si="2"/>
        <v>1866365</v>
      </c>
      <c r="S16" s="114" t="s">
        <v>164</v>
      </c>
      <c r="T16" s="138" t="s">
        <v>198</v>
      </c>
      <c r="U16" s="114">
        <v>1971709</v>
      </c>
      <c r="V16" s="115"/>
      <c r="W16" s="203">
        <f t="shared" si="3"/>
        <v>1971709</v>
      </c>
      <c r="Y16" s="114" t="s">
        <v>164</v>
      </c>
      <c r="Z16" s="138" t="s">
        <v>198</v>
      </c>
      <c r="AA16" s="114">
        <v>1933049</v>
      </c>
      <c r="AB16" s="115"/>
      <c r="AC16" s="143">
        <f t="shared" si="4"/>
        <v>1933049</v>
      </c>
      <c r="AE16" s="114" t="s">
        <v>164</v>
      </c>
      <c r="AF16" s="138" t="s">
        <v>198</v>
      </c>
      <c r="AG16" s="117">
        <f t="shared" si="5"/>
        <v>75401</v>
      </c>
      <c r="AH16" s="117">
        <f t="shared" si="6"/>
        <v>0</v>
      </c>
      <c r="AI16" s="143">
        <f t="shared" si="7"/>
        <v>75401</v>
      </c>
    </row>
    <row r="17" spans="1:35">
      <c r="A17" s="114" t="s">
        <v>164</v>
      </c>
      <c r="B17" s="138" t="s">
        <v>196</v>
      </c>
      <c r="C17" s="114"/>
      <c r="D17" s="188">
        <v>182061</v>
      </c>
      <c r="E17" s="203">
        <f t="shared" si="0"/>
        <v>182061</v>
      </c>
      <c r="G17" s="114" t="s">
        <v>164</v>
      </c>
      <c r="H17" s="138" t="s">
        <v>196</v>
      </c>
      <c r="I17" s="114"/>
      <c r="J17" s="188">
        <v>178491</v>
      </c>
      <c r="K17" s="203">
        <f t="shared" si="1"/>
        <v>178491</v>
      </c>
      <c r="M17" s="114" t="s">
        <v>164</v>
      </c>
      <c r="N17" s="138" t="s">
        <v>196</v>
      </c>
      <c r="O17" s="114"/>
      <c r="P17" s="188">
        <v>177007</v>
      </c>
      <c r="Q17" s="203">
        <f t="shared" si="2"/>
        <v>177007</v>
      </c>
      <c r="S17" s="114" t="s">
        <v>164</v>
      </c>
      <c r="T17" s="138" t="s">
        <v>196</v>
      </c>
      <c r="U17" s="114"/>
      <c r="V17" s="115">
        <v>177007</v>
      </c>
      <c r="W17" s="203">
        <f t="shared" si="3"/>
        <v>177007</v>
      </c>
      <c r="Y17" s="114" t="s">
        <v>164</v>
      </c>
      <c r="Z17" s="138" t="s">
        <v>196</v>
      </c>
      <c r="AA17" s="114"/>
      <c r="AB17" s="115">
        <v>173536</v>
      </c>
      <c r="AC17" s="143">
        <f t="shared" si="4"/>
        <v>173536</v>
      </c>
      <c r="AE17" s="114" t="s">
        <v>164</v>
      </c>
      <c r="AF17" s="138" t="s">
        <v>196</v>
      </c>
      <c r="AG17" s="117">
        <f t="shared" si="5"/>
        <v>0</v>
      </c>
      <c r="AH17" s="117">
        <f t="shared" si="6"/>
        <v>5054</v>
      </c>
      <c r="AI17" s="143">
        <f t="shared" si="7"/>
        <v>5054</v>
      </c>
    </row>
    <row r="18" spans="1:35">
      <c r="A18" s="114" t="s">
        <v>164</v>
      </c>
      <c r="B18" s="138" t="s">
        <v>197</v>
      </c>
      <c r="C18" s="114"/>
      <c r="D18" s="188">
        <v>190552</v>
      </c>
      <c r="E18" s="203">
        <f t="shared" si="0"/>
        <v>190552</v>
      </c>
      <c r="G18" s="114" t="s">
        <v>164</v>
      </c>
      <c r="H18" s="138" t="s">
        <v>197</v>
      </c>
      <c r="I18" s="114"/>
      <c r="J18" s="188">
        <v>186815</v>
      </c>
      <c r="K18" s="203">
        <f t="shared" si="1"/>
        <v>186815</v>
      </c>
      <c r="M18" s="114" t="s">
        <v>164</v>
      </c>
      <c r="N18" s="138" t="s">
        <v>197</v>
      </c>
      <c r="O18" s="114"/>
      <c r="P18" s="188">
        <v>143693</v>
      </c>
      <c r="Q18" s="203">
        <f t="shared" si="2"/>
        <v>143693</v>
      </c>
      <c r="S18" s="114" t="s">
        <v>164</v>
      </c>
      <c r="T18" s="138" t="s">
        <v>197</v>
      </c>
      <c r="U18" s="114"/>
      <c r="V18" s="115">
        <v>143693</v>
      </c>
      <c r="W18" s="203">
        <f t="shared" si="3"/>
        <v>143693</v>
      </c>
      <c r="Y18" s="114" t="s">
        <v>164</v>
      </c>
      <c r="Z18" s="138" t="s">
        <v>197</v>
      </c>
      <c r="AA18" s="114"/>
      <c r="AB18" s="115">
        <v>140875</v>
      </c>
      <c r="AC18" s="143">
        <f t="shared" si="4"/>
        <v>140875</v>
      </c>
      <c r="AE18" s="114" t="s">
        <v>164</v>
      </c>
      <c r="AF18" s="138" t="s">
        <v>197</v>
      </c>
      <c r="AG18" s="117">
        <f>IF(C18-O18&lt;&gt;0,C18-O18, )</f>
        <v>0</v>
      </c>
      <c r="AH18" s="117">
        <f t="shared" si="6"/>
        <v>46859</v>
      </c>
      <c r="AI18" s="143">
        <f t="shared" si="7"/>
        <v>46859</v>
      </c>
    </row>
    <row r="19" spans="1:35">
      <c r="A19" s="114"/>
      <c r="B19" s="139" t="s">
        <v>167</v>
      </c>
      <c r="C19" s="147">
        <f>SUM(C3:C18)</f>
        <v>21363166</v>
      </c>
      <c r="D19" s="146">
        <f>SUM(D3:D18)</f>
        <v>6545976</v>
      </c>
      <c r="E19" s="204">
        <f>SUM(E3:E18)</f>
        <v>27909142</v>
      </c>
      <c r="G19" s="114"/>
      <c r="H19" s="139" t="s">
        <v>167</v>
      </c>
      <c r="I19" s="147">
        <f>SUM(I3:I18)</f>
        <v>20941538</v>
      </c>
      <c r="J19" s="146">
        <f>SUM(J3:J18)</f>
        <v>6530186.9853989789</v>
      </c>
      <c r="K19" s="204">
        <f>SUM(K3:K18)</f>
        <v>27471724.985398978</v>
      </c>
      <c r="M19" s="114"/>
      <c r="N19" s="139" t="s">
        <v>167</v>
      </c>
      <c r="O19" s="147">
        <f>SUM(O3:O18)</f>
        <v>20525383</v>
      </c>
      <c r="P19" s="146">
        <f>SUM(P3:P18)</f>
        <v>6436119</v>
      </c>
      <c r="Q19" s="204">
        <f>SUM(Q3:Q18)</f>
        <v>26961502</v>
      </c>
      <c r="S19" s="114"/>
      <c r="T19" s="139" t="s">
        <v>167</v>
      </c>
      <c r="U19" s="147">
        <f>SUM(U3:U18)</f>
        <v>21615871</v>
      </c>
      <c r="V19" s="146">
        <f>SUM(V3:V18)</f>
        <v>6436119</v>
      </c>
      <c r="W19" s="204">
        <f>SUM(W3:W18)</f>
        <v>28051990</v>
      </c>
      <c r="Y19" s="114"/>
      <c r="Z19" s="139" t="s">
        <v>167</v>
      </c>
      <c r="AA19" s="147">
        <f>SUM(AA3:AA18)</f>
        <v>21189077</v>
      </c>
      <c r="AB19" s="146">
        <f>SUM(AB3:AB18)</f>
        <v>6422530</v>
      </c>
      <c r="AC19" s="144">
        <f>SUM(AC3:AC18)</f>
        <v>27611607</v>
      </c>
      <c r="AE19" s="114"/>
      <c r="AF19" s="123" t="s">
        <v>167</v>
      </c>
      <c r="AG19" s="117">
        <f t="shared" si="5"/>
        <v>837783</v>
      </c>
      <c r="AH19" s="117">
        <f t="shared" si="6"/>
        <v>109857</v>
      </c>
      <c r="AI19" s="144">
        <f>SUM(AI3:AI18)</f>
        <v>947640</v>
      </c>
    </row>
    <row r="20" spans="1:35" ht="15.75" thickBot="1">
      <c r="A20" s="114"/>
      <c r="B20" s="140" t="s">
        <v>168</v>
      </c>
      <c r="C20" s="240" t="s">
        <v>160</v>
      </c>
      <c r="D20" s="241"/>
      <c r="E20" s="145">
        <f>ROUND(E19*0.949,0)</f>
        <v>26485776</v>
      </c>
      <c r="G20" s="114"/>
      <c r="H20" s="140" t="s">
        <v>168</v>
      </c>
      <c r="I20" s="240" t="s">
        <v>160</v>
      </c>
      <c r="J20" s="241"/>
      <c r="K20" s="145">
        <f>K19*0.949</f>
        <v>26070667.011143629</v>
      </c>
      <c r="M20" s="114"/>
      <c r="N20" s="140" t="s">
        <v>168</v>
      </c>
      <c r="O20" s="240" t="s">
        <v>160</v>
      </c>
      <c r="P20" s="241"/>
      <c r="Q20" s="145">
        <f>Q19*0.949</f>
        <v>25586465.397999998</v>
      </c>
      <c r="S20" s="114"/>
      <c r="T20" s="140" t="s">
        <v>168</v>
      </c>
      <c r="U20" s="240" t="s">
        <v>160</v>
      </c>
      <c r="V20" s="241"/>
      <c r="W20" s="145">
        <f>W19*0.949</f>
        <v>26621338.509999998</v>
      </c>
      <c r="Y20" s="114"/>
      <c r="Z20" s="124" t="s">
        <v>168</v>
      </c>
      <c r="AA20" s="238" t="s">
        <v>160</v>
      </c>
      <c r="AB20" s="239"/>
      <c r="AC20" s="145">
        <f>AC19*0.949</f>
        <v>26203415.042999998</v>
      </c>
      <c r="AE20" s="114"/>
      <c r="AF20" s="124" t="s">
        <v>168</v>
      </c>
      <c r="AG20" s="238" t="s">
        <v>160</v>
      </c>
      <c r="AH20" s="239"/>
      <c r="AI20" s="145">
        <f>AI19*0.949</f>
        <v>899310.36</v>
      </c>
    </row>
    <row r="22" spans="1:35">
      <c r="D22" t="s">
        <v>169</v>
      </c>
      <c r="J22" t="s">
        <v>169</v>
      </c>
      <c r="P22" t="s">
        <v>169</v>
      </c>
      <c r="V22" t="s">
        <v>169</v>
      </c>
    </row>
    <row r="23" spans="1:35">
      <c r="D23" s="125">
        <f>E20-'Federal Funds Transactions'!AJ6</f>
        <v>0</v>
      </c>
      <c r="E23" t="s">
        <v>170</v>
      </c>
      <c r="J23" s="125">
        <f>K20-'Federal Funds Transactions'!AP6</f>
        <v>26070667.011143629</v>
      </c>
      <c r="K23" t="s">
        <v>170</v>
      </c>
      <c r="P23" s="125">
        <f>Q20-'Federal Funds Transactions'!AP6</f>
        <v>25586465.397999998</v>
      </c>
      <c r="Q23" t="s">
        <v>170</v>
      </c>
      <c r="V23" s="177"/>
      <c r="W23" t="s">
        <v>170</v>
      </c>
    </row>
    <row r="26" spans="1:35">
      <c r="AA26" s="177"/>
    </row>
  </sheetData>
  <mergeCells count="14">
    <mergeCell ref="AG20:AH20"/>
    <mergeCell ref="C20:D20"/>
    <mergeCell ref="A1:B1"/>
    <mergeCell ref="Y1:Z1"/>
    <mergeCell ref="AA20:AB20"/>
    <mergeCell ref="AE1:AF1"/>
    <mergeCell ref="S1:T1"/>
    <mergeCell ref="U20:V20"/>
    <mergeCell ref="M1:N1"/>
    <mergeCell ref="O20:P20"/>
    <mergeCell ref="C1:E1"/>
    <mergeCell ref="G1:H1"/>
    <mergeCell ref="I1:K1"/>
    <mergeCell ref="I20:J2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Federal Funds Transactions</vt:lpstr>
      <vt:lpstr>Regional Loans and Transfers</vt:lpstr>
      <vt:lpstr>Notes</vt:lpstr>
      <vt:lpstr>FY26 Apportionments</vt:lpstr>
      <vt:lpstr>'Federal Funds Transactions'!Print_Area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dc:creator>
  <cp:lastModifiedBy>Katherine Koster</cp:lastModifiedBy>
  <cp:lastPrinted>2016-02-03T15:13:47Z</cp:lastPrinted>
  <dcterms:created xsi:type="dcterms:W3CDTF">2013-05-11T20:19:37Z</dcterms:created>
  <dcterms:modified xsi:type="dcterms:W3CDTF">2026-01-22T22:18:54Z</dcterms:modified>
</cp:coreProperties>
</file>