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8_{7CE41344-6EB4-4511-B202-38FD74E661D0}"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Transactions'!$A$1:$T$52</definedName>
    <definedName name="Query_from_MS_Access_Database" localSheetId="0" hidden="1">'Federal Funds Transactions'!$A$15:$T$17</definedName>
    <definedName name="Query_from_MS_Access_Database" localSheetId="1" hidden="1">'Regional Loans and Transfers'!$A$11:$U$142</definedName>
    <definedName name="Query_from_MS_Access_Database_1" localSheetId="0" hidden="1">'Federal Funds Transactions'!$A$34:$T$38</definedName>
    <definedName name="Query_from_MS_Access_Database_1" localSheetId="1" hidden="1">'Regional Loans and Transfers'!$A$251:$U$382</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1" l="1"/>
  <c r="U17" i="1"/>
  <c r="U35" i="1"/>
  <c r="U36" i="1"/>
  <c r="U38" i="1"/>
  <c r="U37" i="1"/>
  <c r="O5" i="1" l="1"/>
  <c r="D13" i="2" l="1"/>
  <c r="J14" i="2"/>
  <c r="AH3" i="4" l="1"/>
  <c r="AH4" i="4"/>
  <c r="AH5" i="4"/>
  <c r="AH6" i="4"/>
  <c r="AH7" i="4"/>
  <c r="AG4" i="4"/>
  <c r="AG5" i="4"/>
  <c r="AG6" i="4"/>
  <c r="AG7" i="4"/>
  <c r="AG3" i="4"/>
  <c r="J8" i="4"/>
  <c r="I8" i="4"/>
  <c r="K7" i="4"/>
  <c r="K6" i="4"/>
  <c r="K5" i="4"/>
  <c r="K4" i="4"/>
  <c r="K3" i="4"/>
  <c r="T6" i="1"/>
  <c r="S6" i="1"/>
  <c r="R6" i="1"/>
  <c r="Q6" i="1"/>
  <c r="P6" i="1"/>
  <c r="O6" i="1"/>
  <c r="N6" i="1"/>
  <c r="M6" i="1"/>
  <c r="V11" i="1"/>
  <c r="T11" i="1"/>
  <c r="S11" i="1"/>
  <c r="R11" i="1"/>
  <c r="Q11" i="1"/>
  <c r="P11" i="1"/>
  <c r="O11" i="1"/>
  <c r="N11" i="1"/>
  <c r="M11" i="1"/>
  <c r="V10" i="1"/>
  <c r="T10" i="1"/>
  <c r="S10" i="1"/>
  <c r="R10" i="1"/>
  <c r="Q10" i="1"/>
  <c r="P10" i="1"/>
  <c r="O10" i="1"/>
  <c r="N10" i="1"/>
  <c r="M10" i="1"/>
  <c r="V9" i="1"/>
  <c r="T9" i="1"/>
  <c r="S9" i="1"/>
  <c r="R9" i="1"/>
  <c r="Q9" i="1"/>
  <c r="P9" i="1"/>
  <c r="O9" i="1"/>
  <c r="N9" i="1"/>
  <c r="M9" i="1"/>
  <c r="V8" i="1"/>
  <c r="T8" i="1"/>
  <c r="S8" i="1"/>
  <c r="R8" i="1"/>
  <c r="Q8" i="1"/>
  <c r="P8" i="1"/>
  <c r="O8" i="1"/>
  <c r="N8" i="1"/>
  <c r="M8" i="1"/>
  <c r="V7" i="1"/>
  <c r="T7" i="1"/>
  <c r="S7" i="1"/>
  <c r="R7" i="1"/>
  <c r="Q7" i="1"/>
  <c r="P7" i="1"/>
  <c r="O7" i="1"/>
  <c r="N7" i="1"/>
  <c r="M7" i="1"/>
  <c r="V6" i="1"/>
  <c r="K8" i="4" l="1"/>
  <c r="K9" i="4" s="1"/>
  <c r="S43" i="1"/>
  <c r="P8" i="4" l="1"/>
  <c r="O8" i="4"/>
  <c r="Q7" i="4"/>
  <c r="Q6" i="4"/>
  <c r="Q5" i="4"/>
  <c r="Q4" i="4"/>
  <c r="Q3" i="4"/>
  <c r="Q8" i="4" l="1"/>
  <c r="Q9" i="4" s="1"/>
  <c r="V8" i="4"/>
  <c r="U8" i="4"/>
  <c r="W7" i="4"/>
  <c r="W6" i="4"/>
  <c r="W5" i="4"/>
  <c r="W4" i="4"/>
  <c r="W3" i="4"/>
  <c r="W8" i="4" s="1"/>
  <c r="W9" i="4" s="1"/>
  <c r="P5" i="1" l="1"/>
  <c r="Q5" i="1"/>
  <c r="R5" i="1"/>
  <c r="S5" i="1"/>
  <c r="E14" i="2"/>
  <c r="E12" i="2"/>
  <c r="E13" i="2"/>
  <c r="S50" i="1"/>
  <c r="R50" i="1"/>
  <c r="M50" i="1"/>
  <c r="N50" i="1"/>
  <c r="O50" i="1"/>
  <c r="P50" i="1"/>
  <c r="Q50" i="1"/>
  <c r="T50" i="1"/>
  <c r="M43" i="1"/>
  <c r="T43" i="1"/>
  <c r="R43" i="1"/>
  <c r="M30" i="1"/>
  <c r="S30" i="1"/>
  <c r="R30" i="1"/>
  <c r="N30" i="1"/>
  <c r="U4" i="1"/>
  <c r="AC6" i="4"/>
  <c r="AC5" i="4"/>
  <c r="E6" i="4"/>
  <c r="AI6" i="4" s="1"/>
  <c r="E5" i="4"/>
  <c r="AI5" i="4" s="1"/>
  <c r="AA8" i="4"/>
  <c r="AB8" i="4"/>
  <c r="AC4" i="4"/>
  <c r="AC7" i="4"/>
  <c r="AC3" i="4"/>
  <c r="C8" i="4"/>
  <c r="AG8" i="4" s="1"/>
  <c r="D8" i="4"/>
  <c r="AH8" i="4" s="1"/>
  <c r="E4" i="4"/>
  <c r="AI4" i="4" s="1"/>
  <c r="E7" i="4"/>
  <c r="AI7" i="4" s="1"/>
  <c r="E3" i="4"/>
  <c r="AI3" i="4" s="1"/>
  <c r="N43" i="1"/>
  <c r="O43" i="1"/>
  <c r="P43" i="1"/>
  <c r="Q43" i="1"/>
  <c r="O30" i="1"/>
  <c r="P30" i="1"/>
  <c r="Q30" i="1"/>
  <c r="T30" i="1"/>
  <c r="V50" i="1"/>
  <c r="B5" i="3"/>
  <c r="A7" i="3"/>
  <c r="A1" i="3"/>
  <c r="U43" i="1" l="1"/>
  <c r="U7" i="1"/>
  <c r="E8" i="4"/>
  <c r="O45" i="1"/>
  <c r="U50" i="1"/>
  <c r="M45" i="1"/>
  <c r="AC8" i="4"/>
  <c r="AC9" i="4" s="1"/>
  <c r="D15" i="2"/>
  <c r="T12" i="1"/>
  <c r="T31" i="1" s="1"/>
  <c r="T44" i="1" s="1"/>
  <c r="T49" i="1" s="1"/>
  <c r="U10" i="1"/>
  <c r="S45" i="1"/>
  <c r="R45" i="1"/>
  <c r="Q45" i="1"/>
  <c r="N12" i="1"/>
  <c r="N31" i="1" s="1"/>
  <c r="P12" i="1"/>
  <c r="P31" i="1" s="1"/>
  <c r="P44" i="1" s="1"/>
  <c r="P49" i="1" s="1"/>
  <c r="P51" i="1" s="1"/>
  <c r="U8" i="1"/>
  <c r="U6" i="1"/>
  <c r="T45" i="1"/>
  <c r="O12" i="1"/>
  <c r="O31" i="1" s="1"/>
  <c r="O44" i="1" s="1"/>
  <c r="O49" i="1" s="1"/>
  <c r="O52" i="1" s="1"/>
  <c r="U9" i="1"/>
  <c r="U11" i="1"/>
  <c r="P45" i="1"/>
  <c r="N45" i="1"/>
  <c r="U30" i="1"/>
  <c r="M12" i="1"/>
  <c r="M31" i="1" s="1"/>
  <c r="U5" i="1"/>
  <c r="R12" i="1"/>
  <c r="R31" i="1" s="1"/>
  <c r="R44" i="1" s="1"/>
  <c r="R49" i="1" s="1"/>
  <c r="R51" i="1" s="1"/>
  <c r="Q12" i="1"/>
  <c r="Q31" i="1" s="1"/>
  <c r="Q44" i="1" s="1"/>
  <c r="Q49" i="1" s="1"/>
  <c r="Q51" i="1" s="1"/>
  <c r="S12" i="1"/>
  <c r="S31" i="1" s="1"/>
  <c r="S44" i="1" s="1"/>
  <c r="S49" i="1" s="1"/>
  <c r="E9" i="4" l="1"/>
  <c r="AI8" i="4"/>
  <c r="AI9" i="4" s="1"/>
  <c r="V5" i="1"/>
  <c r="V12" i="1" s="1"/>
  <c r="N44" i="1"/>
  <c r="N49" i="1" s="1"/>
  <c r="M44" i="1"/>
  <c r="M49" i="1" s="1"/>
  <c r="T52" i="1"/>
  <c r="T51" i="1"/>
  <c r="U45" i="1"/>
  <c r="Q52" i="1"/>
  <c r="O51" i="1"/>
  <c r="P52" i="1"/>
  <c r="R52" i="1"/>
  <c r="S52" i="1"/>
  <c r="S51" i="1"/>
  <c r="U12" i="1"/>
  <c r="U31" i="1" s="1"/>
  <c r="U44" i="1" s="1"/>
  <c r="V35" i="1"/>
  <c r="V36" i="1" s="1"/>
  <c r="V16" i="1"/>
  <c r="V17" i="1" s="1"/>
  <c r="D11" i="4" l="1"/>
  <c r="X5" i="1"/>
  <c r="M52" i="1"/>
  <c r="M51" i="1"/>
  <c r="U49" i="1"/>
  <c r="N51" i="1"/>
  <c r="N52" i="1"/>
  <c r="U51" i="1" l="1"/>
  <c r="Z47" i="1" l="1"/>
  <c r="Z49" i="1" l="1"/>
  <c r="V37" i="1" l="1"/>
  <c r="V38" i="1"/>
  <c r="V49" i="1"/>
  <c r="V5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05-NACOG LEDGER`.`ADOT#`, `05-NACOG LEDGER`.`TIP#`, `05-NACOG LEDGER`.Sponsor, `05-NACOG LEDGER`.`Action/15`, `05-NACOG LEDGER`.Location, `05-NACOG LEDGER`.RTE, `05-NACOG LEDGER`.SEC, `05-NACOG LEDGER`.SEQ, `05-NACOG LEDGER`.`PB Expected`, `05-NACOG LEDGER`.`PB Received`, `05-NACOG LEDGER`.`PF Transmitted`, `05-NACOG LEDGER`.`Finance Authorization`, `05-NACOG LEDGER`.`HURF EXCHANGE` AS `HURF EX`, `05-NACOG LEDGER`.HSIP, `05-NACOG LEDGER`.SPR, `05-NACOG LEDGER`.`STP &lt;5`, `05-NACOG LEDGER`.`STP 5-200`, `05-NACOG LEDGER`.`STP 5-50`, `05-NACOG LEDGER`.`STP 50-200`, `05-NACOG LEDGER`.`STP OTHER`_x000d__x000a_FROM `G:\FMS\RESOURCE\ACCESS\010614 PBPF\011614 PBPF front.accdb`.`05-NACOG LEDGER` `05-NACOG LEDGER`_x000d__x000a_WHERE (`05-NACOG LEDGER`.`ADOT#`&lt;&gt;'Trick') AND (`05-NACOG LEDGER`.`Finance Authorization`&gt;=#10/1/2025# AND `05-NACOG LEDGER`.`Finance Authorization`&lt;=#9/30/2026#)_x000d__x000a_ORDER BY `05-NACOG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05-NACOGGqryLedgerApportsCrosstab`.`Transaction Year`, `05-NACOGGqryLedgerApportsCrosstab`.`Transaction Type`, `05-NACOGGqryLedgerApportsCrosstab`.Number, `05-NACOGGqryLedgerApportsCrosstab`.`From`, `05-NACOGGqryLedgerApportsCrosstab`.To, `05-NACOGGqryLedgerApportsCrosstab`.`Repayment Year`, `05-NACOGGqryLedgerApportsCrosstab`.Project8, `05-NACOGGqryLedgerApportsCrosstab`.Notes, `05-NACOGGqryLedgerApportsCrosstab`.Total, `05-NACOGGqryLedgerApportsCrosstab`.`HURF Exchange`, `05-NACOGGqryLedgerApportsCrosstab`.HSIP, `05-NACOGGqryLedgerApportsCrosstab`.PLAN, `05-NACOGGqryLedgerApportsCrosstab`.SPR, `05-NACOGGqryLedgerApportsCrosstab`.`STP &lt;5`, `05-NACOGGqryLedgerApportsCrosstab`.`STP 5-2`,`05-NACOGGqryLedgerApportsCrosstab`.`STP 5-50`,`05-NACOGGqryLedgerApportsCrosstab`.`STP 50-200`, `05-NACOGGqryLedgerApportsCrosstab`.`STP Flex`, `05-NACOGGqryLedgerApportsCrosstab`.`TAP &lt;5`, `05-NACOGGqryLedgerApportsCrosstab`.`TAP 5-2`, `05-NACOGGqryLedgerApportsCrosstab`.`TAP Flex`_x000d__x000a_FROM `G:\FMS\RESOURCE\ACCESS\010614 PBPF\011614 PBPF front.accdb`.`05-NACOGGqryLedgerApportsCrosstab` `05-NACOGGqryLedgerApportsCrosstab`_x000d__x000a_WHERE (`05-NACOGG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05-NACOGGqryLedgerOACrosstab`.`Transaction Year`, `05-NACOGGqryLedgerOACrosstab`.`Transaction Type`, `05-NACOGGqryLedgerOACrosstab`.Number, `05-NACOGGqryLedgerOACrosstab`.`From`, `05-NACOGGqryLedgerOACrosstab`.To, `05-NACOGGqryLedgerOACrosstab`.`Repayment Year`, `05-NACOGGqryLedgerOACrosstab`.Project8, `05-NACOGGqryLedgerOACrosstab`.Notes, `05-NACOGGqryLedgerOACrosstab`.Total, `05-NACOGGqryLedgerOACrosstab`.`HURF Exchange`, `05-NACOGGqryLedgerOACrosstab`.HSIP, `05-NACOGGqryLedgerOACrosstab`.PLAN, `05-NACOGGqryLedgerOACrosstab`.SPR, `05-NACOGGqryLedgerOACrosstab`.`STP &lt;5`, `05-NACOGGqryLedgerOACrosstab`.`STP 5-2`, `05-NACOGGqryLedgerOACrosstab`.`STP 5-50`,`05-NACOGGqryLedgerOACrosstab`.`STP 50-200`,`05-NACOGGqryLedgerOACrosstab`.`STP Flex`, `05-NACOGGqryLedgerOACrosstab`.`TAP &lt;5`, `05-NACOGGqryLedgerOACrosstab`.`TAP 5-2`, `05-NACOGGqryLedgerOACrosstab`.`TAP Flex`_x000d__x000a_FROM `G:\FMS\RESOURCE\ACCESS\010614 PBPF\011614 PBPF front.accdb`.`05-NACOGGqryLedgerOACrosstab` `05-NACOGGqryLedgerOACrosstab`_x000d__x000a_WHERE (`05-NACOGG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05-NACOG LEDGER`.`ADOT#`, `05-NACOG LEDGER`.`TIP#`, `05-NACOG LEDGER`.Sponsor, `05-NACOG LEDGER`.`Action/15`, `05-NACOG LEDGER`.Location, `05-NACOG LEDGER`.RTE, `05-NACOG LEDGER`.SEC, `05-NACOG LEDGER`.SEQ, `05-NACOG LEDGER`.`PB Expected`, `05-NACOG LEDGER`.`PB Received`, `05-NACOG LEDGER`.`PF Transmitted`, `05-NACOG LEDGER`.`Finance Authorization`, `05-NACOG LEDGER`.`HURF EXCHANGE` AS `HURF EX`, `05-NACOG LEDGER`.HSIP, `05-NACOG LEDGER`.SPR, `05-NACOG LEDGER`.`STP &lt;5`, `05-NACOG LEDGER`.`STP 5-200`, `05-NACOG LEDGER`.`STP 5-50`, `05-NACOG LEDGER`.`STP 50-200`, `05-NACOG LEDGER`.`STP OTHER`_x000d__x000a_FROM `G:\FMS\RESOURCE\ACCESS\010614 PBPF\011614 PBPF front.accdb`.`05-NACOG LEDGER` `05-NACOG LEDGER`_x000d__x000a_WHERE (`05-NACOG LEDGER`.`ADOT#` Not Like 'Trick') AND (`05-NACOG LEDGER`.`Finance Authorization` Is Null) AND ((`05-NACOG LEDGER`.`PB Expected`&gt;=#10/1/2025# and `PB Expected`&lt;=#9/30/2026#) OR (`05-NACOG LEDGER`.`PB Received`&gt;=#10/1/2025# and `PB Received`&lt;=#9/30/2026#) OR (`05-NACOG LEDGER`.`PF Transmitted`&gt;=#10/1/2025# and `PF Transmitted`&lt;=#9/30/2026#))_x000d__x000a_ORDER BY `05-NACOG LEDGER`.`ADOT#`"/>
  </connection>
</connections>
</file>

<file path=xl/sharedStrings.xml><?xml version="1.0" encoding="utf-8"?>
<sst xmlns="http://schemas.openxmlformats.org/spreadsheetml/2006/main" count="2398" uniqueCount="381">
  <si>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</si>
  <si>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</si>
  <si>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</si>
  <si>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</si>
  <si>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</si>
  <si>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</si>
  <si>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</si>
  <si>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</si>
  <si>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</si>
  <si>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</si>
  <si>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</si>
  <si>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</si>
  <si>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</si>
  <si>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</si>
  <si>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</si>
  <si>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</si>
  <si>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</si>
  <si>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</si>
  <si>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</si>
  <si>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</si>
  <si>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</si>
  <si>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</si>
  <si>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</si>
  <si>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</si>
  <si>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</si>
  <si>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</si>
  <si>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</si>
  <si>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</si>
  <si>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</si>
  <si>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</si>
  <si>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</si>
  <si>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</si>
  <si>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</si>
  <si>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</si>
  <si>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</si>
  <si>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</si>
  <si>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</si>
  <si>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</si>
  <si>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</si>
  <si>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</si>
  <si>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</si>
  <si>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Transaction Year</t>
  </si>
  <si>
    <t>Transaction Type</t>
  </si>
  <si>
    <t>Repayment Year</t>
  </si>
  <si>
    <t>RTE</t>
  </si>
  <si>
    <t>SEC</t>
  </si>
  <si>
    <t>SEQ</t>
  </si>
  <si>
    <t>PB Expected</t>
  </si>
  <si>
    <t>PB Received</t>
  </si>
  <si>
    <t>PF Transmitted</t>
  </si>
  <si>
    <t>Finance Authorization</t>
  </si>
  <si>
    <t>STP OTHER</t>
  </si>
  <si>
    <t>EXPECTED DECLINING BALANCE OA</t>
  </si>
  <si>
    <t>TOTAL</t>
  </si>
  <si>
    <t>SPR /4</t>
  </si>
  <si>
    <t>All OA and apportionments lapse annually on June 30th with the exception of apportionments for CMAQ, TA, and STP over 200K in MAG and PAG. Also exempt from lapsing are SPR apportionments associated with an approved work program for the following state fiscal year. For this purpose, 25% of the annual SPR allocation will be available for obligation between July 1 and September 1. The remaining 75% is available between October 1 and June 30.  See Note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</si>
  <si>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</si>
  <si>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</si>
  <si>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</si>
  <si>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</si>
  <si>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</si>
  <si>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</si>
  <si>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</si>
  <si>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</si>
  <si>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</si>
  <si>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</si>
  <si>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</si>
  <si>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</si>
  <si>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</si>
  <si>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</si>
  <si>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</si>
  <si>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</si>
  <si>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</si>
  <si>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</si>
  <si>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</si>
  <si>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</si>
  <si>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</si>
  <si>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Data as of:</t>
  </si>
  <si>
    <t xml:space="preserve">Federal Aid Regional Loans and Transfers Ledger
</t>
  </si>
  <si>
    <t>Action/15</t>
  </si>
  <si>
    <t>TOTAL OF AMOUNT</t>
  </si>
  <si>
    <t>Expected Totals</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</si>
  <si>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</si>
  <si>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</si>
  <si>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</si>
  <si>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</si>
  <si>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</si>
  <si>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DECLINING BALANCE OA</t>
  </si>
  <si>
    <t>Loan Out</t>
  </si>
  <si>
    <t>Repayment In</t>
  </si>
  <si>
    <t>ADOT</t>
  </si>
  <si>
    <t>2014</t>
  </si>
  <si>
    <t>2019</t>
  </si>
  <si>
    <t>SEAGO</t>
  </si>
  <si>
    <t>2016</t>
  </si>
  <si>
    <t>2015</t>
  </si>
  <si>
    <t>Current FFY
Apportionments /5</t>
  </si>
  <si>
    <t>Lapsing</t>
  </si>
  <si>
    <t>2017</t>
  </si>
  <si>
    <t>2018</t>
  </si>
  <si>
    <t>STP &lt;5</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</si>
  <si>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</si>
  <si>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</si>
  <si>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</si>
  <si>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</si>
  <si>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Transfer In</t>
  </si>
  <si>
    <t>MAG</t>
  </si>
  <si>
    <t>FMPO</t>
  </si>
  <si>
    <t>Regional Safety Plan</t>
  </si>
  <si>
    <t>2013</t>
  </si>
  <si>
    <t>CAG</t>
  </si>
  <si>
    <t>SUNMPO</t>
  </si>
  <si>
    <t>WACOG</t>
  </si>
  <si>
    <t>NACOGCAG-17L1</t>
  </si>
  <si>
    <t>NACOG</t>
  </si>
  <si>
    <t>SZ15001C</t>
  </si>
  <si>
    <t>NACOG STP Loan to CAG</t>
  </si>
  <si>
    <t>Pinal County Safety Study</t>
  </si>
  <si>
    <t>0</t>
  </si>
  <si>
    <t>Northern Arizona Council of Governments</t>
  </si>
  <si>
    <t>2011</t>
  </si>
  <si>
    <t>NACOG002</t>
  </si>
  <si>
    <t>SS942</t>
  </si>
  <si>
    <t>2011 HSIP Loan to ADOT</t>
  </si>
  <si>
    <t>2012</t>
  </si>
  <si>
    <t>NACOG005</t>
  </si>
  <si>
    <t>2012 STP loan to WACOG</t>
  </si>
  <si>
    <t>NACOG006</t>
  </si>
  <si>
    <t>STP loan to ADOT</t>
  </si>
  <si>
    <t>NACOG001</t>
  </si>
  <si>
    <t>2013 STP loan to ADOT</t>
  </si>
  <si>
    <t>NACOG004</t>
  </si>
  <si>
    <t>2013 STP loan to SEAGO</t>
  </si>
  <si>
    <t>Repayment from ADOT for 2011 HSIP loan</t>
  </si>
  <si>
    <t>NACOG007</t>
  </si>
  <si>
    <t>2013 HSIP ADOT TRANSFER TO NACOG</t>
  </si>
  <si>
    <t>NACOG-LP01</t>
  </si>
  <si>
    <t>NACOG LAPSING FUNDS - FFY14</t>
  </si>
  <si>
    <t>NACOG14-L001</t>
  </si>
  <si>
    <t>2016-2019</t>
  </si>
  <si>
    <t>FY 14 LOAN FROM NACOG TO MAG</t>
  </si>
  <si>
    <t>NACOG14-L002</t>
  </si>
  <si>
    <t>CYMPO</t>
  </si>
  <si>
    <t>2014 LOAN FROM NACOG TO CYMPO FOR SIGN REPLACEMENT</t>
  </si>
  <si>
    <t>NACOG14-L003</t>
  </si>
  <si>
    <t>2015-2017</t>
  </si>
  <si>
    <t>2014 LOAN FROM NACOG TO ADOT</t>
  </si>
  <si>
    <t>NACOG14-L004</t>
  </si>
  <si>
    <t>YMPO</t>
  </si>
  <si>
    <t>2014 LOAN FROM NACOG TO YMPO</t>
  </si>
  <si>
    <t>Repayment of 2013 STP loan to SEAGO</t>
  </si>
  <si>
    <t>Repayment from ADOT of 2012 STP loan</t>
  </si>
  <si>
    <t>NACOG14-T001</t>
  </si>
  <si>
    <t>NACOG FY 14  HSIP TRANSFER TO ADOT</t>
  </si>
  <si>
    <t>NACOG-15L1</t>
  </si>
  <si>
    <t>NACOG Loan to SCMPO</t>
  </si>
  <si>
    <t>Repayment from ADOT of 2013 STP loan</t>
  </si>
  <si>
    <t>Repayment from WACOG for 2012 STP loan</t>
  </si>
  <si>
    <t>2015 REPAYMENT FROM CYMPO  TO NACOG FOR SIGN REPLACEMENT</t>
  </si>
  <si>
    <t>NACOGCYMPO-17</t>
  </si>
  <si>
    <t>Toltec Rd</t>
  </si>
  <si>
    <t>NACOG STP Loan to CYMPO</t>
  </si>
  <si>
    <t>NACOGSCMPO-17</t>
  </si>
  <si>
    <t>NACOG STP Loan to SCMPO</t>
  </si>
  <si>
    <t>CYMPONACOG-17T1</t>
  </si>
  <si>
    <t>CYMPO HSIP transfer to NACOG</t>
  </si>
  <si>
    <t>FMPONACOG-17T1</t>
  </si>
  <si>
    <t>FMPO HSIP Transfer to NACOG</t>
  </si>
  <si>
    <t>NACOGADOT-17T1</t>
  </si>
  <si>
    <t>SL71101C</t>
  </si>
  <si>
    <t>NACOG STBGP Transfer to ADOT</t>
  </si>
  <si>
    <t>FY18T1-NACOGADOT</t>
  </si>
  <si>
    <t>H891801C/YYV 18-03</t>
  </si>
  <si>
    <t>FY18T2-NACOGADOT</t>
  </si>
  <si>
    <t>H869901C / CMV 16-007</t>
  </si>
  <si>
    <t>REPAYMENT OF 2014 LOAN FROM NACOG TO YMPO</t>
  </si>
  <si>
    <t>T005801C</t>
  </si>
  <si>
    <t>PLAN</t>
  </si>
  <si>
    <t>STP Flex</t>
  </si>
  <si>
    <t>STP 5-200</t>
  </si>
  <si>
    <t>HURF Exchange</t>
  </si>
  <si>
    <t>HURF EX</t>
  </si>
  <si>
    <t>T017701D</t>
  </si>
  <si>
    <t>NACOGADOT-18L1</t>
  </si>
  <si>
    <t>VARIOUS STBGP</t>
  </si>
  <si>
    <t>NACOG STBGP Loan to ADOT</t>
  </si>
  <si>
    <t>NACOGADOT-18L2</t>
  </si>
  <si>
    <t>ADOTNACOG-18T1</t>
  </si>
  <si>
    <t>ADOT HURF EX Transfer to NACOG</t>
  </si>
  <si>
    <t>NACOG STP 5-2 Transfer to ADOT</t>
  </si>
  <si>
    <t>NACOGSEAGO-19L1</t>
  </si>
  <si>
    <t>2020</t>
  </si>
  <si>
    <t>SZ02701C</t>
  </si>
  <si>
    <t>NACOG STP Loan to SEAGO</t>
  </si>
  <si>
    <t>ADOTNACOG-18T2</t>
  </si>
  <si>
    <t>NACOGADOT-19L1</t>
  </si>
  <si>
    <t>2023</t>
  </si>
  <si>
    <t>FY23 FUND BALANCE</t>
  </si>
  <si>
    <t>NACOG STP Loan to ADOT</t>
  </si>
  <si>
    <r>
      <t xml:space="preserve">Available HSIP funding should be programmed </t>
    </r>
    <r>
      <rPr>
        <b/>
        <i/>
        <strike/>
        <sz val="11"/>
        <color theme="1"/>
        <rFont val="Calibri"/>
        <family val="2"/>
        <scheme val="minor"/>
      </rPr>
      <t>only</t>
    </r>
    <r>
      <rPr>
        <strike/>
        <sz val="11"/>
        <color theme="1"/>
        <rFont val="Calibri"/>
        <family val="2"/>
        <scheme val="minor"/>
      </rPr>
      <t xml:space="preserve"> for projects which have already met all of the following criteria: 
1) HSIP eligibility has been approved by ADOT and FHWA;  
2) An approved application is on file with ADOT by September 1 of the year prior to obligation; AND
3) The project is fully funded in the year of authorization (i.e. federal aid cannot be programmed across multiple years).
Unobligated HSIP apportionments and OA expire on June 30th each year and are not carried forward. 
</t>
    </r>
  </si>
  <si>
    <t>TBD</t>
  </si>
  <si>
    <t>T000801C</t>
  </si>
  <si>
    <t>T001101C</t>
  </si>
  <si>
    <t>T007201C</t>
  </si>
  <si>
    <t>ADOTNACOG-19T1</t>
  </si>
  <si>
    <t>T019801C</t>
  </si>
  <si>
    <t>ADOTNACOG-19T2</t>
  </si>
  <si>
    <t>NACOGADOT-19L2</t>
  </si>
  <si>
    <t>Apache County</t>
  </si>
  <si>
    <t>ADOTNACOG-19T3</t>
  </si>
  <si>
    <t>ADOTNACOG-19T4</t>
  </si>
  <si>
    <t>T022901C</t>
  </si>
  <si>
    <t>T023401C</t>
  </si>
  <si>
    <t>T017701C</t>
  </si>
  <si>
    <t>NACOGADOT-20L1</t>
  </si>
  <si>
    <t>2021</t>
  </si>
  <si>
    <t>Page / Eager</t>
  </si>
  <si>
    <t>NACOGADOT-20L2</t>
  </si>
  <si>
    <t>Future STBGP</t>
  </si>
  <si>
    <t>NACOGADOT-20L3</t>
  </si>
  <si>
    <t>ADOTNACOG-20T1</t>
  </si>
  <si>
    <t>ADOTNACOG-20T4</t>
  </si>
  <si>
    <t>T022401D</t>
  </si>
  <si>
    <t>ADOTNACOG-20T5</t>
  </si>
  <si>
    <t>NACOGADOT-20T2</t>
  </si>
  <si>
    <t>NAC 22-001C</t>
  </si>
  <si>
    <t>NACOG HSIP Transfer to ADOT</t>
  </si>
  <si>
    <t>NACOGADOT-20T3</t>
  </si>
  <si>
    <t>NAC 24-001C</t>
  </si>
  <si>
    <t>NACOGADOT-21L1</t>
  </si>
  <si>
    <t>2022</t>
  </si>
  <si>
    <t>NACOGADOT-21T1</t>
  </si>
  <si>
    <t>T008901C</t>
  </si>
  <si>
    <t>ADOT HURF Ex Transfer to NACOG</t>
  </si>
  <si>
    <t>NACOGADOT-21T2</t>
  </si>
  <si>
    <t>T029801C</t>
  </si>
  <si>
    <t>NACOGADOT-21T3</t>
  </si>
  <si>
    <t>T029701D</t>
  </si>
  <si>
    <t>ADOTNACOG-21T2</t>
  </si>
  <si>
    <t>NACOG STP &gt; 5 Transfer to ADOT</t>
  </si>
  <si>
    <t>ADOTNACOG-21T3</t>
  </si>
  <si>
    <t>T032301C</t>
  </si>
  <si>
    <t>NACOGADOT-21T4</t>
  </si>
  <si>
    <t>T029901D</t>
  </si>
  <si>
    <t>ADOTNACOG-21T4</t>
  </si>
  <si>
    <t>Fund Type</t>
  </si>
  <si>
    <t xml:space="preserve">Program Category </t>
  </si>
  <si>
    <t>Formula</t>
  </si>
  <si>
    <t xml:space="preserve">SPR (Planning) </t>
  </si>
  <si>
    <t xml:space="preserve">STP &lt; 5k </t>
  </si>
  <si>
    <t>Total Formula Apportionments</t>
  </si>
  <si>
    <t>Total Formula OA (@94.9%)</t>
  </si>
  <si>
    <t>Statutory</t>
  </si>
  <si>
    <t>Disc</t>
  </si>
  <si>
    <t>NACOG OA</t>
  </si>
  <si>
    <t>check</t>
  </si>
  <si>
    <t>rounding</t>
  </si>
  <si>
    <t>NACOGADOT-22T1</t>
  </si>
  <si>
    <t>NACOG Change</t>
  </si>
  <si>
    <t>HSIP is now managed as a competitive program by ADOT.   However,  HSIP funding released off of  projects that were funded from the ledger will be released back onto the ledger.</t>
  </si>
  <si>
    <t>NACOG FFY22</t>
  </si>
  <si>
    <t xml:space="preserve">STP 5K-200k </t>
  </si>
  <si>
    <t>STP 50K-200K</t>
  </si>
  <si>
    <t>STP 5K-50K</t>
  </si>
  <si>
    <t>STP 5-50</t>
  </si>
  <si>
    <t>STP 50-200</t>
  </si>
  <si>
    <t>TAP &lt;5</t>
  </si>
  <si>
    <t>TAP 5-2</t>
  </si>
  <si>
    <t>TAP Flex</t>
  </si>
  <si>
    <t>NACOGADOT-22L1</t>
  </si>
  <si>
    <t>T029701C</t>
  </si>
  <si>
    <t>NACOG FFY23</t>
  </si>
  <si>
    <t>SPR (State Planning &amp; Research) apportionment availability for approved work program</t>
  </si>
  <si>
    <t>OA LOANS, REPAYMENTS AND TRANSFERS /see Notes 7 - 12</t>
  </si>
  <si>
    <t>Loan STBG for use of future projects</t>
  </si>
  <si>
    <t>ADOTNACOG-22T1</t>
  </si>
  <si>
    <t>NACOG STP &lt;5 Transfer to ADOT</t>
  </si>
  <si>
    <t>T041201C</t>
  </si>
  <si>
    <t>ADOTNACOG-23T1</t>
  </si>
  <si>
    <t>ADOT HURF Exchange Transfer to NACOG</t>
  </si>
  <si>
    <t>NACOGCYMPO-23T1</t>
  </si>
  <si>
    <t>Paricipation in Boundary Study</t>
  </si>
  <si>
    <t>NACOG SPR Transfer to CYMPO</t>
  </si>
  <si>
    <t>NACOGADOT-23L1</t>
  </si>
  <si>
    <t>2024</t>
  </si>
  <si>
    <t>2016/2017 Bid Savings for FY2024 Project</t>
  </si>
  <si>
    <t>NACOG Loan to ADOT</t>
  </si>
  <si>
    <t>Clarkdale, Springerville, and Navajo County projects</t>
  </si>
  <si>
    <t>2025</t>
  </si>
  <si>
    <t>Apache County, Camp Verde, W. Yavapai County projects</t>
  </si>
  <si>
    <t xml:space="preserve"> ADOTNACOG-23T2</t>
  </si>
  <si>
    <t>T043101C</t>
  </si>
  <si>
    <t>ADOTNACOG-24T1</t>
  </si>
  <si>
    <t>T048101C</t>
  </si>
  <si>
    <t>NACOGADOT-21T4-FV</t>
  </si>
  <si>
    <t>T029901D - Final Voucher</t>
  </si>
  <si>
    <t>ADOT STP &lt;5 Transfer to NACOG</t>
  </si>
  <si>
    <t>NACOGADOT-24T2</t>
  </si>
  <si>
    <t>T052601C</t>
  </si>
  <si>
    <t>ADOT HURF EX Transfer to NACOG - HFX</t>
  </si>
  <si>
    <t>NACOG HURF EX Transfer to ADOT</t>
  </si>
  <si>
    <t>NACOG STP &lt;5K Transfer to ADOT - HFX</t>
  </si>
  <si>
    <t>NACOG FFY24</t>
  </si>
  <si>
    <t>Please direct questions regarding federal funding ledgers to ADOT Financial Management Services at</t>
  </si>
  <si>
    <t xml:space="preserve"> resourceadmin@azdot.gov.</t>
  </si>
  <si>
    <t>T061701C</t>
  </si>
  <si>
    <t>NACOGADOT-24L1</t>
  </si>
  <si>
    <t>Camp Verde, Show Low, and Springerville Projects</t>
  </si>
  <si>
    <t>NACOG STP 5-50 Loan to ADOT</t>
  </si>
  <si>
    <t>NACOGCYMPO-25T1</t>
  </si>
  <si>
    <t>CYMPO Boundary Expansion/2050 RTP</t>
  </si>
  <si>
    <t>NACOG STP &lt;5K Transfer to CYMPO</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</si>
  <si>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</si>
  <si>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</si>
  <si>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NACOGADOT-25T1</t>
  </si>
  <si>
    <t>NACOG STP Transfer to ADOT</t>
  </si>
  <si>
    <t>FOOTNOTES</t>
  </si>
  <si>
    <t>NACOG FFY25</t>
  </si>
  <si>
    <t>T067301C</t>
  </si>
  <si>
    <t>T063101D</t>
  </si>
  <si>
    <t>NACOGADOT-25T2</t>
  </si>
  <si>
    <t>NACOGADOT-25T3</t>
  </si>
  <si>
    <t>NACOG STP 5-50 Transfer to ADOT</t>
  </si>
  <si>
    <t>NACOGADOT-25L1</t>
  </si>
  <si>
    <t>2026</t>
  </si>
  <si>
    <t>FY26: Camp Verde</t>
  </si>
  <si>
    <t>FY26: Springerville, Coconino County, NACOG</t>
  </si>
  <si>
    <t>NACOG STP &lt;5K Loan to ADOT</t>
  </si>
  <si>
    <t>000</t>
  </si>
  <si>
    <t>Planned Lapsing - 06/30/26</t>
  </si>
  <si>
    <t>Lapsed - 07/01/26</t>
  </si>
  <si>
    <t>Planned Lapsing - 09/30/26</t>
  </si>
  <si>
    <t>Carry Forward to FFY 27</t>
  </si>
  <si>
    <t>CVD 26-002C</t>
  </si>
  <si>
    <t>HFX</t>
  </si>
  <si>
    <t>SPG 26-002</t>
  </si>
  <si>
    <t>SPG 26-002 C</t>
  </si>
  <si>
    <t>SPRINGERVILLE</t>
  </si>
  <si>
    <t>SPV</t>
  </si>
  <si>
    <t>RLTAP31P</t>
  </si>
  <si>
    <t>VARIOUS</t>
  </si>
  <si>
    <t>LOCAL LEDGERS</t>
  </si>
  <si>
    <t>LTAP - FFY26</t>
  </si>
  <si>
    <t>999</t>
  </si>
  <si>
    <t>ADOT# 102806 / CVD 26-002C</t>
  </si>
  <si>
    <t>Federal Fiscal Year 2026</t>
  </si>
  <si>
    <t>State FY 26 Approved work program amount</t>
  </si>
  <si>
    <t>State FY 26 amount authorized prior to 09/30/25 or Lapsed funding</t>
  </si>
  <si>
    <t>State FY 26 amount available for authorization 10/01/25 - 06/30/26</t>
  </si>
  <si>
    <t>State FY 27 amount available for authorization 07/1/26 - 09/30/26 (request must be submitted by 09/01/26)</t>
  </si>
  <si>
    <t>Total SPR apportionments for Federal Fiscal Year 26 (as shown on ledger)</t>
  </si>
  <si>
    <t xml:space="preserve">1. Any HSIP apportionments that become available on the ledger as a result of a project close out or other reasons, are eligible to be exchanged for STBG apportionments. </t>
  </si>
  <si>
    <t>NACOG FFY26 Est.</t>
  </si>
  <si>
    <t>CAMP VERDE</t>
  </si>
  <si>
    <t>Verde Lakes Improvements</t>
  </si>
  <si>
    <t>PNG2603P</t>
  </si>
  <si>
    <t>Various</t>
  </si>
  <si>
    <t>NACOG FY2026 / FY2027 WP - STBG</t>
  </si>
  <si>
    <t>NAC</t>
  </si>
  <si>
    <t>T</t>
  </si>
  <si>
    <t>026</t>
  </si>
  <si>
    <t>Maricopa Paving Between Pima and Papago</t>
  </si>
  <si>
    <t>NACOGADOT-25T4</t>
  </si>
  <si>
    <t>T063101C - HFX</t>
  </si>
  <si>
    <t>ADOT HFX Transfer to NACOG</t>
  </si>
  <si>
    <t>NACOG STP &lt;5K Transfer to ADOT</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</si>
  <si>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</si>
  <si>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2. NACOG obligated the following FFY25 funds for SFY26-27 Work Programs: $23,503.21 in SPR Funds on PNG2601P; and $240,000.00 in STBG funds on PNG2603P.</t>
  </si>
  <si>
    <t>These do not show on this ledger. These obligations show on the FFY25 ledger.</t>
  </si>
  <si>
    <t xml:space="preserve">Federal Aid Transaction Ledger
</t>
  </si>
  <si>
    <t>The FFY 26 OA limitation ratio for the State is 87.4%.  The rate for calculations in FY 2026 for the ledgers will be 0.949.  This rate is subject to change in future fiscal years.</t>
  </si>
  <si>
    <t>NACOGSEAGO-26L1</t>
  </si>
  <si>
    <t>2027</t>
  </si>
  <si>
    <t>Chino Road Realignment</t>
  </si>
  <si>
    <t>NACOG STBG Loan to SEAGO</t>
  </si>
  <si>
    <t>PNG2403P</t>
  </si>
  <si>
    <t>NACOG FY2023 / FY2024 WP - STBG</t>
  </si>
  <si>
    <t>024</t>
  </si>
  <si>
    <t>PNG2601P</t>
  </si>
  <si>
    <t>FY 2026/ FY2027 NORTHERN ARIZONA COUNCIL OF GOVERNMENTS (NACOG) WORK PROGRAM (SPR)</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</si>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</sst>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mm/dd/yy;@"/>
    <numFmt numFmtId="165" formatCode="mm/dd/yyyy"/>
    <numFmt numFmtId="166" formatCode="m/d/yy;@"/>
  </numFmts>
  <fonts count="62">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trike/>
      <sz val="11"/>
      <color theme="1"/>
      <name val="Calibri"/>
      <family val="2"/>
      <scheme val="minor"/>
    </font>
    <font>
      <b/>
      <i/>
      <strike/>
      <sz val="11"/>
      <color theme="1"/>
      <name val="Calibri"/>
      <family val="2"/>
      <scheme val="minor"/>
    </font>
    <font>
      <sz val="11"/>
      <color theme="1"/>
      <name val="Calibri"/>
      <family val="2"/>
      <scheme val="minor"/>
    </font>
    <font>
      <sz val="9"/>
      <name val="Arial"/>
      <family val="2"/>
    </font>
    <font>
      <b/>
      <sz val="9"/>
      <name val="Arial"/>
      <family val="2"/>
    </font>
    <font>
      <sz val="10"/>
      <name val="Arial"/>
      <family val="2"/>
    </font>
    <font>
      <sz val="12"/>
      <name val="Times New Roman"/>
      <family val="1"/>
    </font>
    <font>
      <sz val="8"/>
      <name val="Arial"/>
      <family val="2"/>
    </font>
    <font>
      <sz val="10"/>
      <color rgb="FF000000"/>
      <name val="Arial"/>
      <family val="2"/>
    </font>
    <font>
      <sz val="9"/>
      <color theme="1"/>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Arial Unicode MS"/>
      <family val="2"/>
    </font>
    <font>
      <sz val="11"/>
      <color theme="1"/>
      <name val="Calibri"/>
      <family val="2"/>
      <scheme val="minor"/>
    </font>
    <font>
      <sz val="11"/>
      <color theme="1"/>
      <name val="Calibri"/>
      <family val="2"/>
      <scheme val="minor"/>
    </font>
    <font>
      <b/>
      <u/>
      <sz val="12"/>
      <name val="Arial Unicode MS"/>
      <family val="2"/>
    </font>
    <font>
      <sz val="11"/>
      <color theme="1"/>
      <name val="Calibri"/>
      <family val="2"/>
      <scheme val="minor"/>
    </font>
    <font>
      <sz val="11"/>
      <color theme="1"/>
      <name val="Calibri"/>
      <family val="2"/>
      <scheme val="minor"/>
    </font>
    <font>
      <sz val="11"/>
      <color theme="1"/>
      <name val="Calibri"/>
      <family val="2"/>
      <scheme val="minor"/>
    </font>
    <font>
      <b/>
      <sz val="11"/>
      <color rgb="FFFF0000"/>
      <name val="Calibri"/>
      <family val="2"/>
      <scheme val="minor"/>
    </font>
    <font>
      <sz val="8"/>
      <name val="Wingdings"/>
      <charset val="2"/>
    </font>
    <font>
      <sz val="11"/>
      <name val="Calibri Light"/>
      <family val="2"/>
      <scheme val="maj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theme="0"/>
        <bgColor indexed="64"/>
      </patternFill>
    </fill>
    <fill>
      <patternFill patternType="solid">
        <fgColor rgb="FFFFCCFF"/>
        <bgColor indexed="64"/>
      </patternFill>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46">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0" fontId="42" fillId="0" borderId="0"/>
    <xf numFmtId="0" fontId="42" fillId="0" borderId="0"/>
    <xf numFmtId="0" fontId="43" fillId="0" borderId="0"/>
    <xf numFmtId="0" fontId="44" fillId="0" borderId="0"/>
    <xf numFmtId="43" fontId="4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42" fillId="0" borderId="0" applyFont="0" applyFill="0" applyBorder="0" applyAlignment="0" applyProtection="0"/>
    <xf numFmtId="0" fontId="45" fillId="0" borderId="0"/>
    <xf numFmtId="0" fontId="42" fillId="0" borderId="0"/>
    <xf numFmtId="0" fontId="45" fillId="0" borderId="0"/>
    <xf numFmtId="0" fontId="4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42" fillId="0" borderId="0"/>
    <xf numFmtId="0" fontId="45" fillId="0" borderId="0"/>
    <xf numFmtId="0" fontId="42" fillId="0" borderId="0"/>
    <xf numFmtId="0" fontId="45" fillId="0" borderId="0"/>
    <xf numFmtId="0" fontId="45" fillId="0" borderId="0"/>
    <xf numFmtId="0" fontId="42" fillId="0" borderId="0"/>
    <xf numFmtId="0" fontId="45" fillId="0" borderId="0"/>
    <xf numFmtId="9" fontId="1" fillId="0" borderId="0" applyFont="0" applyFill="0" applyBorder="0" applyAlignment="0" applyProtection="0"/>
    <xf numFmtId="9" fontId="42" fillId="0" borderId="0" applyFont="0" applyFill="0" applyBorder="0" applyAlignment="0" applyProtection="0"/>
    <xf numFmtId="0" fontId="42" fillId="0" borderId="0"/>
    <xf numFmtId="9" fontId="1" fillId="0" borderId="0" applyFont="0" applyFill="0" applyBorder="0" applyAlignment="0" applyProtection="0"/>
  </cellStyleXfs>
  <cellXfs count="223">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0" fontId="25" fillId="0" borderId="0" xfId="0" applyFont="1" applyAlignment="1">
      <alignment horizontal="left" vertical="top"/>
    </xf>
    <xf numFmtId="43" fontId="0" fillId="0" borderId="1" xfId="3" applyFont="1" applyBorder="1"/>
    <xf numFmtId="43" fontId="10" fillId="0" borderId="1" xfId="3" applyFont="1" applyBorder="1"/>
    <xf numFmtId="43" fontId="0" fillId="0" borderId="9" xfId="3" applyFont="1" applyBorder="1"/>
    <xf numFmtId="43" fontId="10" fillId="0" borderId="9" xfId="3" applyFont="1" applyBorder="1"/>
    <xf numFmtId="43" fontId="10" fillId="0" borderId="10" xfId="3" applyFont="1" applyBorder="1"/>
    <xf numFmtId="43" fontId="10" fillId="0" borderId="6" xfId="3" applyFont="1" applyBorder="1"/>
    <xf numFmtId="14" fontId="0" fillId="0" borderId="0" xfId="3" applyNumberFormat="1" applyFont="1" applyAlignment="1">
      <alignment horizontal="left" vertical="center" wrapText="1"/>
    </xf>
    <xf numFmtId="14" fontId="11" fillId="0" borderId="0" xfId="0" applyNumberFormat="1" applyFont="1" applyAlignment="1">
      <alignmen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43" fontId="11" fillId="0" borderId="0" xfId="3" applyFont="1" applyAlignment="1">
      <alignment vertical="top" wrapText="1"/>
    </xf>
    <xf numFmtId="43" fontId="27" fillId="0" borderId="0" xfId="3" applyFont="1"/>
    <xf numFmtId="43" fontId="27" fillId="0" borderId="9" xfId="3" applyFont="1" applyBorder="1"/>
    <xf numFmtId="43" fontId="27" fillId="0" borderId="1" xfId="3" applyFont="1" applyBorder="1"/>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0" fontId="17" fillId="0" borderId="1" xfId="0" applyNumberFormat="1" applyFont="1" applyBorder="1" applyAlignment="1">
      <alignment horizontal="right" vertical="top"/>
    </xf>
    <xf numFmtId="43" fontId="17" fillId="0" borderId="0" xfId="0" applyNumberFormat="1" applyFont="1" applyAlignment="1">
      <alignment vertical="top"/>
    </xf>
    <xf numFmtId="40" fontId="17" fillId="0" borderId="1" xfId="0" applyNumberFormat="1" applyFont="1" applyBorder="1" applyAlignment="1">
      <alignment vertical="top"/>
    </xf>
    <xf numFmtId="40" fontId="23" fillId="0" borderId="0" xfId="0" applyNumberFormat="1" applyFont="1" applyAlignment="1">
      <alignment vertical="top" wrapText="1"/>
    </xf>
    <xf numFmtId="14" fontId="23" fillId="2" borderId="6" xfId="0" applyNumberFormat="1" applyFont="1" applyFill="1" applyBorder="1" applyAlignment="1">
      <alignment horizontal="center" vertical="center" wrapText="1"/>
    </xf>
    <xf numFmtId="43" fontId="28" fillId="0" borderId="0" xfId="3" applyFont="1"/>
    <xf numFmtId="43" fontId="28" fillId="0" borderId="10" xfId="3" applyFont="1" applyBorder="1"/>
    <xf numFmtId="43" fontId="28" fillId="0" borderId="12" xfId="3" applyFont="1" applyBorder="1"/>
    <xf numFmtId="43" fontId="28" fillId="0" borderId="6" xfId="3" applyFont="1" applyBorder="1"/>
    <xf numFmtId="43" fontId="28" fillId="0" borderId="13" xfId="3" applyFont="1" applyBorder="1"/>
    <xf numFmtId="43" fontId="29" fillId="0" borderId="0" xfId="3" applyFont="1"/>
    <xf numFmtId="43" fontId="29" fillId="0" borderId="10" xfId="3" applyFont="1" applyBorder="1"/>
    <xf numFmtId="43" fontId="29" fillId="0" borderId="6" xfId="3" applyFont="1" applyBorder="1"/>
    <xf numFmtId="43" fontId="29" fillId="0" borderId="12" xfId="3" applyFont="1" applyBorder="1"/>
    <xf numFmtId="43" fontId="29" fillId="0" borderId="13" xfId="3" applyFont="1" applyBorder="1"/>
    <xf numFmtId="43" fontId="0" fillId="0" borderId="10" xfId="3" applyFont="1" applyBorder="1"/>
    <xf numFmtId="43" fontId="0" fillId="0" borderId="12" xfId="3" applyFont="1" applyBorder="1"/>
    <xf numFmtId="43" fontId="0" fillId="0" borderId="6" xfId="3" applyFont="1" applyBorder="1"/>
    <xf numFmtId="43" fontId="0" fillId="0" borderId="13" xfId="3" applyFont="1" applyBorder="1"/>
    <xf numFmtId="43" fontId="30" fillId="0" borderId="0" xfId="3" applyFont="1"/>
    <xf numFmtId="40" fontId="17" fillId="4" borderId="1" xfId="0" applyNumberFormat="1" applyFont="1" applyFill="1" applyBorder="1" applyAlignment="1">
      <alignment horizontal="right" vertical="top"/>
    </xf>
    <xf numFmtId="40" fontId="16" fillId="5" borderId="6" xfId="0" applyNumberFormat="1" applyFont="1" applyFill="1" applyBorder="1" applyAlignment="1">
      <alignment horizontal="center" vertical="center" wrapText="1"/>
    </xf>
    <xf numFmtId="43" fontId="31" fillId="0" borderId="0" xfId="3" applyFont="1"/>
    <xf numFmtId="43" fontId="32" fillId="0" borderId="0" xfId="3" applyFont="1" applyBorder="1"/>
    <xf numFmtId="43" fontId="32" fillId="0" borderId="0" xfId="3" applyFont="1"/>
    <xf numFmtId="43" fontId="33" fillId="0" borderId="0" xfId="3" applyFont="1"/>
    <xf numFmtId="43" fontId="34" fillId="0" borderId="0" xfId="3" applyFont="1"/>
    <xf numFmtId="43" fontId="35" fillId="0" borderId="0" xfId="3" applyFont="1"/>
    <xf numFmtId="43" fontId="36" fillId="0" borderId="0" xfId="3" applyFont="1"/>
    <xf numFmtId="43" fontId="1" fillId="0" borderId="0" xfId="3" applyFont="1"/>
    <xf numFmtId="43" fontId="39" fillId="0" borderId="0" xfId="3" applyFont="1"/>
    <xf numFmtId="14" fontId="16" fillId="0" borderId="7" xfId="1" applyNumberFormat="1" applyFont="1" applyBorder="1" applyAlignment="1">
      <alignment horizontal="center" vertical="center" wrapText="1"/>
    </xf>
    <xf numFmtId="14" fontId="16" fillId="0" borderId="15" xfId="1" applyNumberFormat="1" applyFont="1" applyBorder="1" applyAlignment="1">
      <alignment horizontal="center" vertical="center" wrapText="1"/>
    </xf>
    <xf numFmtId="40"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40" fontId="17" fillId="4" borderId="15" xfId="0" applyNumberFormat="1" applyFont="1" applyFill="1" applyBorder="1" applyAlignment="1">
      <alignment horizontal="right" vertical="top" wrapText="1"/>
    </xf>
    <xf numFmtId="40" fontId="17" fillId="4" borderId="7" xfId="0" applyNumberFormat="1" applyFont="1" applyFill="1" applyBorder="1" applyAlignment="1">
      <alignment horizontal="right" vertical="top" wrapText="1"/>
    </xf>
    <xf numFmtId="40" fontId="17" fillId="0" borderId="15" xfId="0" applyNumberFormat="1" applyFont="1" applyBorder="1" applyAlignment="1">
      <alignment horizontal="right" vertical="top" wrapText="1"/>
    </xf>
    <xf numFmtId="40" fontId="17" fillId="0" borderId="7" xfId="0" applyNumberFormat="1" applyFont="1" applyBorder="1" applyAlignment="1">
      <alignment horizontal="right" vertical="top" wrapText="1"/>
    </xf>
    <xf numFmtId="40" fontId="17" fillId="2" borderId="7" xfId="0" applyNumberFormat="1" applyFont="1" applyFill="1" applyBorder="1" applyAlignment="1">
      <alignment horizontal="right" vertical="top" wrapText="1"/>
    </xf>
    <xf numFmtId="40" fontId="17" fillId="4" borderId="15" xfId="0" applyNumberFormat="1" applyFont="1" applyFill="1" applyBorder="1" applyAlignment="1">
      <alignment vertical="top" wrapText="1"/>
    </xf>
    <xf numFmtId="40" fontId="17" fillId="4" borderId="7" xfId="0" applyNumberFormat="1" applyFont="1" applyFill="1" applyBorder="1" applyAlignment="1">
      <alignment vertical="top" wrapText="1"/>
    </xf>
    <xf numFmtId="14" fontId="17" fillId="0" borderId="7" xfId="0" applyNumberFormat="1" applyFont="1" applyBorder="1" applyAlignment="1">
      <alignment horizontal="left" vertical="top" wrapText="1"/>
    </xf>
    <xf numFmtId="40" fontId="17" fillId="0" borderId="15" xfId="0" applyNumberFormat="1" applyFont="1" applyBorder="1" applyAlignment="1">
      <alignment vertical="top" wrapText="1"/>
    </xf>
    <xf numFmtId="40" fontId="17" fillId="0" borderId="7" xfId="0" applyNumberFormat="1" applyFont="1" applyBorder="1" applyAlignment="1">
      <alignment vertical="top" wrapText="1"/>
    </xf>
    <xf numFmtId="14" fontId="23" fillId="4" borderId="2" xfId="0" applyNumberFormat="1" applyFont="1" applyFill="1" applyBorder="1" applyAlignment="1">
      <alignment horizontal="left" vertical="top" wrapText="1"/>
    </xf>
    <xf numFmtId="40" fontId="23" fillId="4" borderId="16" xfId="0" applyNumberFormat="1" applyFont="1" applyFill="1" applyBorder="1" applyAlignment="1">
      <alignment horizontal="right" vertical="top" wrapText="1"/>
    </xf>
    <xf numFmtId="40" fontId="23" fillId="4" borderId="2" xfId="0" applyNumberFormat="1" applyFont="1" applyFill="1" applyBorder="1" applyAlignment="1">
      <alignment horizontal="right" vertical="top" wrapText="1"/>
    </xf>
    <xf numFmtId="38" fontId="40" fillId="0" borderId="17" xfId="0" applyNumberFormat="1" applyFont="1" applyBorder="1" applyAlignment="1">
      <alignment horizontal="center" vertical="center" wrapText="1"/>
    </xf>
    <xf numFmtId="38" fontId="40" fillId="6" borderId="14" xfId="0" applyNumberFormat="1" applyFont="1" applyFill="1" applyBorder="1" applyAlignment="1">
      <alignment horizontal="center" vertical="center" wrapText="1"/>
    </xf>
    <xf numFmtId="38" fontId="40" fillId="0" borderId="9" xfId="0" applyNumberFormat="1" applyFont="1" applyBorder="1" applyAlignment="1">
      <alignment horizontal="right" vertical="top"/>
    </xf>
    <xf numFmtId="38" fontId="40" fillId="0" borderId="23" xfId="0" applyNumberFormat="1" applyFont="1" applyBorder="1" applyAlignment="1">
      <alignment vertical="top"/>
    </xf>
    <xf numFmtId="40" fontId="16" fillId="0" borderId="25" xfId="1" applyNumberFormat="1" applyFont="1" applyFill="1" applyBorder="1" applyAlignment="1">
      <alignment horizontal="center" vertical="center" wrapText="1"/>
    </xf>
    <xf numFmtId="40" fontId="17" fillId="4" borderId="25" xfId="0" applyNumberFormat="1" applyFont="1" applyFill="1" applyBorder="1" applyAlignment="1">
      <alignment horizontal="right" vertical="top" wrapText="1"/>
    </xf>
    <xf numFmtId="40" fontId="17" fillId="0" borderId="25" xfId="0" applyNumberFormat="1" applyFont="1" applyBorder="1" applyAlignment="1">
      <alignment horizontal="right" vertical="top" wrapText="1"/>
    </xf>
    <xf numFmtId="40" fontId="17" fillId="4" borderId="25" xfId="0" applyNumberFormat="1" applyFont="1" applyFill="1" applyBorder="1" applyAlignment="1">
      <alignment vertical="top" wrapText="1"/>
    </xf>
    <xf numFmtId="40" fontId="17" fillId="0" borderId="25" xfId="0" applyNumberFormat="1" applyFont="1" applyBorder="1" applyAlignment="1">
      <alignment vertical="top" wrapText="1"/>
    </xf>
    <xf numFmtId="40" fontId="23" fillId="4" borderId="3" xfId="0" applyNumberFormat="1" applyFont="1" applyFill="1" applyBorder="1" applyAlignment="1">
      <alignment horizontal="right" vertical="top" wrapText="1"/>
    </xf>
    <xf numFmtId="38" fontId="40" fillId="0" borderId="4" xfId="0" applyNumberFormat="1" applyFont="1" applyBorder="1" applyAlignment="1">
      <alignment horizontal="right" vertical="top"/>
    </xf>
    <xf numFmtId="38" fontId="40" fillId="0" borderId="3" xfId="0" applyNumberFormat="1" applyFont="1" applyBorder="1" applyAlignment="1">
      <alignment horizontal="right" vertical="top"/>
    </xf>
    <xf numFmtId="38" fontId="41" fillId="0" borderId="2" xfId="0" applyNumberFormat="1" applyFont="1" applyBorder="1" applyAlignment="1">
      <alignment horizontal="right" vertical="top" wrapText="1"/>
    </xf>
    <xf numFmtId="38" fontId="40" fillId="0" borderId="3" xfId="0" applyNumberFormat="1" applyFont="1" applyBorder="1" applyAlignment="1">
      <alignment vertical="top"/>
    </xf>
    <xf numFmtId="0" fontId="40" fillId="0" borderId="1" xfId="0" applyFont="1" applyBorder="1" applyAlignment="1">
      <alignment vertical="top" wrapText="1"/>
    </xf>
    <xf numFmtId="38" fontId="40" fillId="0" borderId="1" xfId="0" applyNumberFormat="1" applyFont="1" applyBorder="1" applyAlignment="1">
      <alignment vertical="top"/>
    </xf>
    <xf numFmtId="38" fontId="40" fillId="0" borderId="4" xfId="0" applyNumberFormat="1" applyFont="1" applyBorder="1" applyAlignment="1">
      <alignment vertical="top"/>
    </xf>
    <xf numFmtId="0" fontId="25" fillId="0" borderId="0" xfId="0" applyFont="1" applyAlignment="1">
      <alignment vertical="top"/>
    </xf>
    <xf numFmtId="0" fontId="11" fillId="0" borderId="0" xfId="0" applyFont="1" applyAlignment="1">
      <alignment vertical="top"/>
    </xf>
    <xf numFmtId="43" fontId="2" fillId="0" borderId="0" xfId="3" applyFont="1" applyAlignment="1">
      <alignment vertical="top" wrapText="1"/>
    </xf>
    <xf numFmtId="43" fontId="5" fillId="0" borderId="0" xfId="3" applyFont="1" applyAlignment="1">
      <alignment vertical="top" wrapText="1"/>
    </xf>
    <xf numFmtId="0" fontId="5" fillId="0" borderId="0" xfId="0" applyFont="1" applyAlignment="1">
      <alignment vertical="top" wrapText="1"/>
    </xf>
    <xf numFmtId="40" fontId="20" fillId="0" borderId="11" xfId="0" applyNumberFormat="1" applyFont="1" applyBorder="1" applyAlignment="1">
      <alignment vertical="top" wrapText="1"/>
    </xf>
    <xf numFmtId="0" fontId="46" fillId="0" borderId="0" xfId="0" applyFont="1" applyAlignment="1">
      <alignment horizontal="center"/>
    </xf>
    <xf numFmtId="40" fontId="46" fillId="0" borderId="0" xfId="0" applyNumberFormat="1" applyFont="1" applyAlignment="1">
      <alignment horizontal="center"/>
    </xf>
    <xf numFmtId="164" fontId="46" fillId="0" borderId="0" xfId="0" applyNumberFormat="1" applyFont="1" applyAlignment="1">
      <alignment horizontal="center"/>
    </xf>
    <xf numFmtId="165" fontId="46" fillId="0" borderId="0" xfId="0" applyNumberFormat="1" applyFont="1" applyAlignment="1">
      <alignment horizontal="center" vertical="center" wrapText="1"/>
    </xf>
    <xf numFmtId="40" fontId="46" fillId="0" borderId="0" xfId="0" applyNumberFormat="1" applyFont="1" applyAlignment="1">
      <alignment vertical="top" wrapText="1"/>
    </xf>
    <xf numFmtId="40" fontId="46" fillId="0" borderId="0" xfId="0" applyNumberFormat="1" applyFont="1" applyAlignment="1">
      <alignment horizontal="center" vertical="center" wrapText="1"/>
    </xf>
    <xf numFmtId="43" fontId="47" fillId="0" borderId="0" xfId="3" applyFont="1" applyBorder="1"/>
    <xf numFmtId="43" fontId="47" fillId="0" borderId="0" xfId="3" applyFont="1"/>
    <xf numFmtId="40" fontId="23" fillId="0" borderId="1" xfId="0" applyNumberFormat="1" applyFont="1" applyBorder="1" applyAlignment="1">
      <alignment horizontal="right" vertical="top" wrapText="1"/>
    </xf>
    <xf numFmtId="40" fontId="17" fillId="0" borderId="5" xfId="0" applyNumberFormat="1" applyFont="1" applyBorder="1" applyAlignment="1">
      <alignment vertical="top"/>
    </xf>
    <xf numFmtId="164" fontId="46" fillId="0" borderId="0" xfId="0" applyNumberFormat="1" applyFont="1" applyAlignment="1">
      <alignment horizontal="right"/>
    </xf>
    <xf numFmtId="40" fontId="46" fillId="0" borderId="0" xfId="0" applyNumberFormat="1" applyFont="1" applyAlignment="1">
      <alignment horizontal="right"/>
    </xf>
    <xf numFmtId="166" fontId="46" fillId="0" borderId="0" xfId="0" applyNumberFormat="1" applyFont="1" applyAlignment="1">
      <alignment horizontal="center"/>
    </xf>
    <xf numFmtId="14" fontId="13" fillId="0" borderId="24" xfId="0" applyNumberFormat="1" applyFont="1" applyBorder="1" applyAlignment="1">
      <alignment vertical="top" wrapText="1"/>
    </xf>
    <xf numFmtId="9" fontId="0" fillId="0" borderId="0" xfId="45" applyFont="1"/>
    <xf numFmtId="8" fontId="0" fillId="0" borderId="0" xfId="0" applyNumberFormat="1"/>
    <xf numFmtId="40" fontId="46" fillId="0" borderId="0" xfId="0" applyNumberFormat="1" applyFont="1" applyAlignment="1">
      <alignment horizontal="left"/>
    </xf>
    <xf numFmtId="0" fontId="46" fillId="0" borderId="0" xfId="0" applyFont="1" applyAlignment="1">
      <alignment horizontal="left"/>
    </xf>
    <xf numFmtId="40" fontId="46" fillId="0" borderId="0" xfId="0" applyNumberFormat="1" applyFont="1" applyAlignment="1">
      <alignment horizontal="right" vertical="top" wrapText="1"/>
    </xf>
    <xf numFmtId="43" fontId="48" fillId="0" borderId="0" xfId="3" applyFont="1"/>
    <xf numFmtId="14" fontId="23" fillId="0" borderId="1" xfId="0" applyNumberFormat="1" applyFont="1" applyBorder="1" applyAlignment="1">
      <alignment horizontal="right" vertical="top" wrapText="1"/>
    </xf>
    <xf numFmtId="0" fontId="17" fillId="0" borderId="0" xfId="0" applyFont="1" applyAlignment="1">
      <alignment horizontal="center"/>
    </xf>
    <xf numFmtId="0" fontId="17" fillId="0" borderId="0" xfId="0" applyFont="1" applyAlignment="1">
      <alignment horizontal="left"/>
    </xf>
    <xf numFmtId="40" fontId="17" fillId="0" borderId="0" xfId="0" applyNumberFormat="1" applyFont="1" applyAlignment="1">
      <alignment horizontal="left"/>
    </xf>
    <xf numFmtId="40" fontId="17" fillId="0" borderId="0" xfId="0" applyNumberFormat="1" applyFont="1" applyAlignment="1">
      <alignment horizontal="center"/>
    </xf>
    <xf numFmtId="164" fontId="17" fillId="0" borderId="0" xfId="0" applyNumberFormat="1" applyFont="1" applyAlignment="1">
      <alignment horizontal="center"/>
    </xf>
    <xf numFmtId="164" fontId="17" fillId="0" borderId="0" xfId="0" applyNumberFormat="1" applyFont="1" applyAlignment="1">
      <alignment horizontal="right"/>
    </xf>
    <xf numFmtId="40" fontId="17" fillId="0" borderId="0" xfId="0" applyNumberFormat="1" applyFont="1" applyAlignment="1">
      <alignment horizontal="right"/>
    </xf>
    <xf numFmtId="40" fontId="20" fillId="0" borderId="24" xfId="0" applyNumberFormat="1" applyFont="1" applyBorder="1" applyAlignment="1">
      <alignment vertical="top" wrapText="1"/>
    </xf>
    <xf numFmtId="40" fontId="20" fillId="0" borderId="0" xfId="0" applyNumberFormat="1" applyFont="1" applyAlignment="1">
      <alignment vertical="top" wrapText="1"/>
    </xf>
    <xf numFmtId="14" fontId="46" fillId="0" borderId="0" xfId="0" applyNumberFormat="1" applyFont="1" applyAlignment="1">
      <alignment horizontal="center"/>
    </xf>
    <xf numFmtId="164" fontId="17" fillId="0" borderId="0" xfId="0" applyNumberFormat="1" applyFont="1" applyAlignment="1">
      <alignment vertical="top" wrapText="1"/>
    </xf>
    <xf numFmtId="43" fontId="49" fillId="0" borderId="0" xfId="3" applyFont="1"/>
    <xf numFmtId="43" fontId="50" fillId="0" borderId="0" xfId="3" applyFont="1"/>
    <xf numFmtId="14" fontId="17" fillId="0" borderId="0" xfId="0" applyNumberFormat="1" applyFont="1" applyAlignment="1">
      <alignment horizontal="center"/>
    </xf>
    <xf numFmtId="38" fontId="40" fillId="8" borderId="1" xfId="0" applyNumberFormat="1" applyFont="1" applyFill="1" applyBorder="1" applyAlignment="1">
      <alignment vertical="top"/>
    </xf>
    <xf numFmtId="43" fontId="51" fillId="0" borderId="0" xfId="3" applyFont="1"/>
    <xf numFmtId="0" fontId="52" fillId="0" borderId="0" xfId="0" applyFont="1" applyAlignment="1">
      <alignment vertical="top"/>
    </xf>
    <xf numFmtId="40" fontId="17" fillId="0" borderId="0" xfId="0" applyNumberFormat="1" applyFont="1" applyAlignment="1">
      <alignment horizontal="right" vertical="top" wrapText="1"/>
    </xf>
    <xf numFmtId="43" fontId="53" fillId="0" borderId="0" xfId="3" applyFont="1"/>
    <xf numFmtId="0" fontId="0" fillId="0" borderId="0" xfId="0" applyAlignment="1">
      <alignment horizontal="left" vertical="top"/>
    </xf>
    <xf numFmtId="3" fontId="0" fillId="0" borderId="0" xfId="0" applyNumberFormat="1"/>
    <xf numFmtId="38" fontId="40" fillId="7" borderId="17" xfId="3" applyNumberFormat="1" applyFont="1" applyFill="1" applyBorder="1" applyAlignment="1">
      <alignment horizontal="center" vertical="center"/>
    </xf>
    <xf numFmtId="38" fontId="40" fillId="7" borderId="14" xfId="3" applyNumberFormat="1" applyFont="1" applyFill="1" applyBorder="1" applyAlignment="1">
      <alignment horizontal="center" vertical="center"/>
    </xf>
    <xf numFmtId="38" fontId="40" fillId="7" borderId="33" xfId="3" applyNumberFormat="1" applyFont="1" applyFill="1" applyBorder="1" applyAlignment="1">
      <alignment horizontal="center" vertical="center"/>
    </xf>
    <xf numFmtId="38" fontId="40" fillId="0" borderId="30" xfId="0" applyNumberFormat="1" applyFont="1" applyBorder="1" applyAlignment="1">
      <alignment vertical="top"/>
    </xf>
    <xf numFmtId="38" fontId="41" fillId="0" borderId="31" xfId="0" applyNumberFormat="1" applyFont="1" applyBorder="1" applyAlignment="1">
      <alignment horizontal="right" vertical="center"/>
    </xf>
    <xf numFmtId="43" fontId="54" fillId="0" borderId="0" xfId="3" applyFont="1"/>
    <xf numFmtId="166" fontId="17" fillId="0" borderId="0" xfId="0" applyNumberFormat="1" applyFont="1" applyAlignment="1">
      <alignment horizontal="center"/>
    </xf>
    <xf numFmtId="0" fontId="55" fillId="0" borderId="0" xfId="0" applyFont="1" applyAlignment="1">
      <alignment horizontal="left" vertical="top"/>
    </xf>
    <xf numFmtId="43" fontId="56" fillId="0" borderId="0" xfId="3" applyFont="1"/>
    <xf numFmtId="43" fontId="57" fillId="0" borderId="0" xfId="3" applyFont="1"/>
    <xf numFmtId="8" fontId="11" fillId="0" borderId="0" xfId="0" applyNumberFormat="1" applyFont="1" applyAlignment="1">
      <alignment vertical="top" wrapText="1"/>
    </xf>
    <xf numFmtId="43" fontId="58" fillId="0" borderId="0" xfId="3" applyFont="1"/>
    <xf numFmtId="0" fontId="2" fillId="0" borderId="0" xfId="0" applyFont="1"/>
    <xf numFmtId="0" fontId="2" fillId="0" borderId="0" xfId="0" applyFont="1" applyAlignment="1">
      <alignment horizontal="left" indent="2"/>
    </xf>
    <xf numFmtId="40" fontId="13" fillId="0" borderId="26" xfId="0" applyNumberFormat="1" applyFont="1" applyBorder="1" applyAlignment="1">
      <alignment horizontal="center" vertical="center" wrapText="1"/>
    </xf>
    <xf numFmtId="0" fontId="5" fillId="0" borderId="0" xfId="0" applyFont="1" applyAlignment="1">
      <alignment horizontal="left" vertical="top" wrapText="1"/>
    </xf>
    <xf numFmtId="40" fontId="20" fillId="0" borderId="11" xfId="0" applyNumberFormat="1" applyFont="1" applyBorder="1" applyAlignment="1">
      <alignment horizontal="center" vertical="top" wrapText="1"/>
    </xf>
    <xf numFmtId="0" fontId="25" fillId="0" borderId="0" xfId="0" applyFont="1" applyAlignment="1">
      <alignment horizontal="center" vertical="top" wrapText="1"/>
    </xf>
    <xf numFmtId="14" fontId="13" fillId="0" borderId="2" xfId="0" applyNumberFormat="1" applyFont="1" applyBorder="1" applyAlignment="1">
      <alignment horizontal="center" vertical="top" wrapText="1"/>
    </xf>
    <xf numFmtId="14" fontId="13" fillId="0" borderId="27" xfId="0" applyNumberFormat="1" applyFont="1" applyBorder="1" applyAlignment="1">
      <alignment horizontal="center" vertical="top" wrapText="1"/>
    </xf>
    <xf numFmtId="14" fontId="13" fillId="0" borderId="9" xfId="0" applyNumberFormat="1" applyFont="1" applyBorder="1" applyAlignment="1">
      <alignment horizontal="center" vertical="top" wrapText="1"/>
    </xf>
    <xf numFmtId="0" fontId="11" fillId="0" borderId="0" xfId="0" applyFont="1" applyAlignment="1">
      <alignment horizontal="left" vertical="top" wrapText="1"/>
    </xf>
    <xf numFmtId="40" fontId="26" fillId="5" borderId="18" xfId="1" applyNumberFormat="1" applyFont="1" applyFill="1" applyBorder="1" applyAlignment="1">
      <alignment horizontal="center" vertical="center" wrapText="1"/>
    </xf>
    <xf numFmtId="40" fontId="26" fillId="5" borderId="19" xfId="1" applyNumberFormat="1" applyFont="1" applyFill="1" applyBorder="1" applyAlignment="1">
      <alignment horizontal="center" vertical="center" wrapText="1"/>
    </xf>
    <xf numFmtId="40" fontId="26" fillId="5" borderId="20" xfId="1" applyNumberFormat="1" applyFont="1" applyFill="1" applyBorder="1" applyAlignment="1">
      <alignment horizontal="center" vertical="center" wrapText="1"/>
    </xf>
    <xf numFmtId="0" fontId="13" fillId="0" borderId="0" xfId="0" applyFont="1" applyAlignment="1">
      <alignment horizontal="left" vertical="top" wrapText="1"/>
    </xf>
    <xf numFmtId="43" fontId="5" fillId="0" borderId="0" xfId="3" applyFont="1" applyAlignment="1">
      <alignment horizontal="center" vertical="top" wrapText="1"/>
    </xf>
    <xf numFmtId="43" fontId="3" fillId="0" borderId="0" xfId="3" applyFont="1" applyAlignment="1">
      <alignment horizontal="left" vertical="top" wrapText="1"/>
    </xf>
    <xf numFmtId="43" fontId="4" fillId="0" borderId="0" xfId="3"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xf>
    <xf numFmtId="0" fontId="59" fillId="2" borderId="0" xfId="0" applyFont="1" applyFill="1" applyAlignment="1">
      <alignment horizontal="left" vertical="top" wrapText="1"/>
    </xf>
    <xf numFmtId="0" fontId="2" fillId="0" borderId="0" xfId="0" applyFont="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2" fillId="0" borderId="0" xfId="0" applyFont="1" applyAlignment="1">
      <alignment horizontal="left" vertical="top"/>
    </xf>
    <xf numFmtId="0" fontId="0" fillId="3" borderId="0" xfId="0" applyFill="1" applyAlignment="1">
      <alignment horizontal="left" vertical="top" wrapText="1"/>
    </xf>
    <xf numFmtId="0" fontId="2" fillId="0" borderId="0" xfId="0" applyFont="1" applyAlignment="1">
      <alignment horizontal="center" vertical="top" wrapText="1"/>
    </xf>
    <xf numFmtId="0" fontId="0" fillId="2" borderId="0" xfId="0" applyFill="1" applyAlignment="1">
      <alignment horizontal="left" vertical="top" wrapText="1"/>
    </xf>
    <xf numFmtId="38" fontId="41" fillId="7" borderId="28" xfId="0" applyNumberFormat="1" applyFont="1" applyFill="1" applyBorder="1" applyAlignment="1">
      <alignment horizontal="center" vertical="center"/>
    </xf>
    <xf numFmtId="38" fontId="41" fillId="7" borderId="29" xfId="0" applyNumberFormat="1" applyFont="1" applyFill="1" applyBorder="1" applyAlignment="1">
      <alignment horizontal="center" vertical="center"/>
    </xf>
    <xf numFmtId="38" fontId="41" fillId="7" borderId="32" xfId="0" applyNumberFormat="1" applyFont="1" applyFill="1" applyBorder="1" applyAlignment="1">
      <alignment horizontal="center" vertical="center"/>
    </xf>
    <xf numFmtId="38" fontId="41" fillId="7" borderId="21" xfId="0" applyNumberFormat="1" applyFont="1" applyFill="1" applyBorder="1" applyAlignment="1">
      <alignment horizontal="center" vertical="top"/>
    </xf>
    <xf numFmtId="38" fontId="41" fillId="7" borderId="22" xfId="0" applyNumberFormat="1" applyFont="1" applyFill="1" applyBorder="1" applyAlignment="1">
      <alignment horizontal="center" vertical="top"/>
    </xf>
  </cellXfs>
  <cellStyles count="46">
    <cellStyle name="Comma" xfId="3" builtinId="3"/>
    <cellStyle name="Comma 2" xfId="8" xr:uid="{00000000-0005-0000-0000-000001000000}"/>
    <cellStyle name="Comma 3" xfId="9" xr:uid="{00000000-0005-0000-0000-000002000000}"/>
    <cellStyle name="Currency" xfId="1" builtinId="4"/>
    <cellStyle name="Currency 2" xfId="10" xr:uid="{00000000-0005-0000-0000-000004000000}"/>
    <cellStyle name="Currency 3" xfId="11" xr:uid="{00000000-0005-0000-0000-000005000000}"/>
    <cellStyle name="Normal" xfId="0" builtinId="0"/>
    <cellStyle name="Normal 10" xfId="12" xr:uid="{00000000-0005-0000-0000-000007000000}"/>
    <cellStyle name="Normal 11" xfId="13" xr:uid="{00000000-0005-0000-0000-000008000000}"/>
    <cellStyle name="Normal 12" xfId="14" xr:uid="{00000000-0005-0000-0000-000009000000}"/>
    <cellStyle name="Normal 13" xfId="15" xr:uid="{00000000-0005-0000-0000-00000A000000}"/>
    <cellStyle name="Normal 14" xfId="16" xr:uid="{00000000-0005-0000-0000-00000B000000}"/>
    <cellStyle name="Normal 15" xfId="17" xr:uid="{00000000-0005-0000-0000-00000C000000}"/>
    <cellStyle name="Normal 16" xfId="18" xr:uid="{00000000-0005-0000-0000-00000D000000}"/>
    <cellStyle name="Normal 17" xfId="19" xr:uid="{00000000-0005-0000-0000-00000E000000}"/>
    <cellStyle name="Normal 18" xfId="20" xr:uid="{00000000-0005-0000-0000-00000F000000}"/>
    <cellStyle name="Normal 19" xfId="21" xr:uid="{00000000-0005-0000-0000-000010000000}"/>
    <cellStyle name="Normal 2" xfId="5" xr:uid="{00000000-0005-0000-0000-000011000000}"/>
    <cellStyle name="Normal 2 2" xfId="7" xr:uid="{00000000-0005-0000-0000-000012000000}"/>
    <cellStyle name="Normal 2 3" xfId="6" xr:uid="{00000000-0005-0000-0000-000013000000}"/>
    <cellStyle name="Normal 2 4" xfId="44" xr:uid="{00000000-0005-0000-0000-000014000000}"/>
    <cellStyle name="Normal 20" xfId="22" xr:uid="{00000000-0005-0000-0000-000015000000}"/>
    <cellStyle name="Normal 21" xfId="23" xr:uid="{00000000-0005-0000-0000-000016000000}"/>
    <cellStyle name="Normal 22" xfId="24" xr:uid="{00000000-0005-0000-0000-000017000000}"/>
    <cellStyle name="Normal 23" xfId="25" xr:uid="{00000000-0005-0000-0000-000018000000}"/>
    <cellStyle name="Normal 24" xfId="26" xr:uid="{00000000-0005-0000-0000-000019000000}"/>
    <cellStyle name="Normal 25" xfId="27" xr:uid="{00000000-0005-0000-0000-00001A000000}"/>
    <cellStyle name="Normal 26" xfId="28" xr:uid="{00000000-0005-0000-0000-00001B000000}"/>
    <cellStyle name="Normal 27" xfId="29" xr:uid="{00000000-0005-0000-0000-00001C000000}"/>
    <cellStyle name="Normal 28" xfId="30" xr:uid="{00000000-0005-0000-0000-00001D000000}"/>
    <cellStyle name="Normal 29" xfId="31" xr:uid="{00000000-0005-0000-0000-00001E000000}"/>
    <cellStyle name="Normal 3" xfId="32" xr:uid="{00000000-0005-0000-0000-00001F000000}"/>
    <cellStyle name="Normal 3 2" xfId="33" xr:uid="{00000000-0005-0000-0000-000020000000}"/>
    <cellStyle name="Normal 4" xfId="4" xr:uid="{00000000-0005-0000-0000-000021000000}"/>
    <cellStyle name="Normal 4 2" xfId="35" xr:uid="{00000000-0005-0000-0000-000022000000}"/>
    <cellStyle name="Normal 4 3" xfId="34" xr:uid="{00000000-0005-0000-0000-000023000000}"/>
    <cellStyle name="Normal 5" xfId="36" xr:uid="{00000000-0005-0000-0000-000024000000}"/>
    <cellStyle name="Normal 5 2" xfId="37" xr:uid="{00000000-0005-0000-0000-000025000000}"/>
    <cellStyle name="Normal 6" xfId="38" xr:uid="{00000000-0005-0000-0000-000026000000}"/>
    <cellStyle name="Normal 7" xfId="39" xr:uid="{00000000-0005-0000-0000-000027000000}"/>
    <cellStyle name="Normal 8" xfId="40" xr:uid="{00000000-0005-0000-0000-000028000000}"/>
    <cellStyle name="Normal 9" xfId="41" xr:uid="{00000000-0005-0000-0000-000029000000}"/>
    <cellStyle name="Normal_Notes" xfId="2" xr:uid="{00000000-0005-0000-0000-00002A000000}"/>
    <cellStyle name="Percent" xfId="45" builtinId="5"/>
    <cellStyle name="Percent 2" xfId="42" xr:uid="{00000000-0005-0000-0000-00002B000000}"/>
    <cellStyle name="Percent 3" xfId="43" xr:uid="{00000000-0005-0000-0000-00002C000000}"/>
  </cellStyles>
  <dxfs count="105">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6" formatCode="m/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lef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5" formatCode="mm/dd/yyyy"/>
      <alignment horizontal="center" vertical="center" textRotation="0" wrapText="1"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04"/>
      <tableStyleElement type="firstRowStripe" dxfId="103"/>
    </tableStyle>
    <tableStyle name="Table Style 2" pivot="0" count="1" xr9:uid="{00000000-0011-0000-FFFF-FFFF01000000}">
      <tableStyleElement type="firstRowStripe" dxfId="102"/>
    </tableStyle>
    <tableStyle name="Table Style 3" pivot="0" count="1" xr9:uid="{00000000-0011-0000-FFFF-FFFF02000000}">
      <tableStyleElement type="firstRowStripe" dxfId="101"/>
    </tableStyle>
    <tableStyle name="Table Style 4" pivot="0" count="3" xr9:uid="{00000000-0011-0000-FFFF-FFFF03000000}">
      <tableStyleElement type="wholeTable" dxfId="100"/>
      <tableStyleElement type="headerRow" dxfId="99"/>
      <tableStyleElement type="firstRowStripe" dxfId="98"/>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868638</xdr:colOff>
      <xdr:row>4</xdr:row>
      <xdr:rowOff>42334</xdr:rowOff>
    </xdr:from>
    <xdr:ext cx="184730" cy="937629"/>
    <xdr:sp macro="" textlink="">
      <xdr:nvSpPr>
        <xdr:cNvPr id="2" name="Rectangle 1">
          <a:extLst>
            <a:ext uri="{FF2B5EF4-FFF2-40B4-BE49-F238E27FC236}">
              <a16:creationId xmlns:a16="http://schemas.microsoft.com/office/drawing/2014/main" id="{00000000-0008-0000-0000-000002000000}"/>
            </a:ext>
          </a:extLst>
        </xdr:cNvPr>
        <xdr:cNvSpPr/>
      </xdr:nvSpPr>
      <xdr:spPr>
        <a:xfrm>
          <a:off x="4857232" y="1447272"/>
          <a:ext cx="184730"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3" unboundColumnsRight="2">
    <queryTableFields count="22">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SPR" tableColumnId="15"/>
      <queryTableField id="16" name="STP &lt;5" tableColumnId="16"/>
      <queryTableField id="17" name="STP 5-200" tableColumnId="17"/>
      <queryTableField id="18" name="STP 5-50" tableColumnId="18"/>
      <queryTableField id="19" name="STP 50-200" tableColumnId="19"/>
      <queryTableField id="20" name="STP OTHER" tableColumnId="20"/>
      <queryTableField id="21" dataBound="0" tableColumnId="21"/>
      <queryTableField id="22" dataBound="0" tableColumnId="2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3" unboundColumnsRight="2">
    <queryTableFields count="22">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SPR" tableColumnId="15"/>
      <queryTableField id="16" name="STP &lt;5" tableColumnId="16"/>
      <queryTableField id="17" name="STP 5-200" tableColumnId="17"/>
      <queryTableField id="18" name="STP 5-50" tableColumnId="18"/>
      <queryTableField id="19" name="STP 50-200" tableColumnId="19"/>
      <queryTableField id="20" name="STP OTHER" tableColumnId="20"/>
      <queryTableField id="21" dataBound="0" tableColumnId="21"/>
      <queryTableField id="22" dataBound="0" tableColumnId="2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nextId="22">
    <queryTableFields count="21">
      <queryTableField id="1" name="Transaction Year" tableColumnId="22"/>
      <queryTableField id="2" name="Transaction Type" tableColumnId="23"/>
      <queryTableField id="3" name="Number" tableColumnId="24"/>
      <queryTableField id="4" name="From" tableColumnId="25"/>
      <queryTableField id="5" name="To" tableColumnId="26"/>
      <queryTableField id="6" name="Repayment Year" tableColumnId="27"/>
      <queryTableField id="7" name="Project8" tableColumnId="28"/>
      <queryTableField id="8" name="Notes" tableColumnId="29"/>
      <queryTableField id="9" name="Total" tableColumnId="30"/>
      <queryTableField id="10" name="HURF Exchange" tableColumnId="31"/>
      <queryTableField id="11" name="HSIP" tableColumnId="32"/>
      <queryTableField id="12" name="PLAN" tableColumnId="33"/>
      <queryTableField id="13" name="SPR" tableColumnId="34"/>
      <queryTableField id="14" name="STP &lt;5" tableColumnId="35"/>
      <queryTableField id="15" name="STP 5-2" tableColumnId="36"/>
      <queryTableField id="16" name="STP 5-50" tableColumnId="37"/>
      <queryTableField id="17" name="STP 50-200" tableColumnId="38"/>
      <queryTableField id="18" name="STP Flex" tableColumnId="39"/>
      <queryTableField id="19" name="TAP &lt;5" tableColumnId="40"/>
      <queryTableField id="20" name="TAP 5-2" tableColumnId="41"/>
      <queryTableField id="21" name="TAP Flex" tableColumnId="4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connectionId="3" xr16:uid="{00000000-0016-0000-0100-000003000000}" autoFormatId="16" applyNumberFormats="0" applyBorderFormats="0" applyFontFormats="0" applyPatternFormats="0" applyAlignmentFormats="0" applyWidthHeightFormats="0">
  <queryTableRefresh nextId="22">
    <queryTableFields count="21">
      <queryTableField id="1" name="Transaction Year" tableColumnId="22"/>
      <queryTableField id="2" name="Transaction Type" tableColumnId="23"/>
      <queryTableField id="3" name="Number" tableColumnId="24"/>
      <queryTableField id="4" name="From" tableColumnId="25"/>
      <queryTableField id="5" name="To" tableColumnId="26"/>
      <queryTableField id="6" name="Repayment Year" tableColumnId="27"/>
      <queryTableField id="7" name="Project8" tableColumnId="28"/>
      <queryTableField id="8" name="Notes" tableColumnId="29"/>
      <queryTableField id="9" name="Total" tableColumnId="30"/>
      <queryTableField id="10" name="HURF Exchange" tableColumnId="31"/>
      <queryTableField id="11" name="HSIP" tableColumnId="32"/>
      <queryTableField id="12" name="PLAN" tableColumnId="33"/>
      <queryTableField id="13" name="SPR" tableColumnId="34"/>
      <queryTableField id="14" name="STP &lt;5" tableColumnId="35"/>
      <queryTableField id="15" name="STP 5-2" tableColumnId="36"/>
      <queryTableField id="16" name="STP 5-50" tableColumnId="37"/>
      <queryTableField id="17" name="STP 50-200" tableColumnId="38"/>
      <queryTableField id="18" name="STP Flex" tableColumnId="39"/>
      <queryTableField id="19" name="TAP &lt;5" tableColumnId="40"/>
      <queryTableField id="20" name="TAP 5-2" tableColumnId="41"/>
      <queryTableField id="21" name="TAP Flex" tableColumnId="4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V17" tableType="queryTable" totalsRowShown="0" headerRowDxfId="97" dataDxfId="96" tableBorderDxfId="95">
  <autoFilter ref="A15:V17" xr:uid="{2DD73A1A-F9E9-4EC2-B7C4-6A6EB92F30BF}"/>
  <tableColumns count="22">
    <tableColumn id="1" xr3:uid="{D43C0201-1518-4391-B381-66A4E04DEC5E}" uniqueName="1" name="ADOT#" queryTableFieldId="1" dataDxfId="63"/>
    <tableColumn id="2" xr3:uid="{6265E1D1-2A7D-4296-A102-1D497198D019}" uniqueName="2" name="TIP#" queryTableFieldId="2" dataDxfId="62"/>
    <tableColumn id="3" xr3:uid="{428E5F8C-8719-4D6A-9376-F84431D75554}" uniqueName="3" name="Sponsor" queryTableFieldId="3" dataDxfId="61"/>
    <tableColumn id="4" xr3:uid="{F821733C-5E94-4FE2-89A3-66D28ABE2047}" uniqueName="4" name="Action/15" queryTableFieldId="4" dataDxfId="60"/>
    <tableColumn id="5" xr3:uid="{BEEA74E0-A799-44F6-830F-EFA3FEEE62FC}" uniqueName="5" name="Location" queryTableFieldId="5" dataDxfId="59"/>
    <tableColumn id="6" xr3:uid="{0DCD0CCE-81F0-4B5B-93F9-2B65C7911DFD}" uniqueName="6" name="RTE" queryTableFieldId="6" dataDxfId="58"/>
    <tableColumn id="7" xr3:uid="{71DAFB62-908D-46AE-BB98-4A2C23BEF6F4}" uniqueName="7" name="SEC" queryTableFieldId="7" dataDxfId="57"/>
    <tableColumn id="8" xr3:uid="{DADAC352-73D6-4736-8726-F55744FF46AE}" uniqueName="8" name="SEQ" queryTableFieldId="8" dataDxfId="56"/>
    <tableColumn id="9" xr3:uid="{0F7E6075-A5A2-46A6-9E79-9FA75EF53702}" uniqueName="9" name="PB Expected" queryTableFieldId="9" dataDxfId="55"/>
    <tableColumn id="10" xr3:uid="{A4F0731E-7977-4D36-AF7D-CFB138068573}" uniqueName="10" name="PB Received" queryTableFieldId="10" dataDxfId="54"/>
    <tableColumn id="11" xr3:uid="{27BD15F8-1B79-4335-AFC0-10AF3228DEDD}" uniqueName="11" name="PF Transmitted" queryTableFieldId="11" dataDxfId="53"/>
    <tableColumn id="12" xr3:uid="{4CE85F6E-F808-4C71-871E-E8894219CC2A}" uniqueName="12" name="Finance Authorization" queryTableFieldId="12" dataDxfId="52"/>
    <tableColumn id="13" xr3:uid="{7AD0E5FC-EDD7-4941-BA8E-99DB9E9A29DE}" uniqueName="13" name="HURF EX" queryTableFieldId="13" dataDxfId="51"/>
    <tableColumn id="14" xr3:uid="{047DFE2C-09A1-4E8A-877E-2DB7B5F94B54}" uniqueName="14" name="HSIP" queryTableFieldId="14" dataDxfId="50"/>
    <tableColumn id="15" xr3:uid="{FB5D1F68-39B5-474A-B9FB-8E87452939D1}" uniqueName="15" name="SPR" queryTableFieldId="15" dataDxfId="49"/>
    <tableColumn id="16" xr3:uid="{5B937D72-3E2A-4575-B8C1-E3197E9AAC06}" uniqueName="16" name="STP &lt;5" queryTableFieldId="16" dataDxfId="48"/>
    <tableColumn id="17" xr3:uid="{91717188-CD2A-4587-8F75-C869B75A2C05}" uniqueName="17" name="STP 5-200" queryTableFieldId="17" dataDxfId="47"/>
    <tableColumn id="18" xr3:uid="{78E1C33A-E620-4929-A01E-82287E21CF21}" uniqueName="18" name="STP 5-50" queryTableFieldId="18" dataDxfId="46"/>
    <tableColumn id="19" xr3:uid="{6D4E5E2E-D8F5-432B-AE71-A1954EDED2F3}" uniqueName="19" name="STP 50-200" queryTableFieldId="19" dataDxfId="45"/>
    <tableColumn id="20" xr3:uid="{0AE7DB18-A9FE-4F3D-A834-A52070C87C1D}" uniqueName="20" name="STP OTHER" queryTableFieldId="20" dataDxfId="44"/>
    <tableColumn id="21" xr3:uid="{372FAEE7-AA06-4C59-962D-551B95D65443}" uniqueName="21" name="TOTAL OF AMOUNT" queryTableFieldId="21" dataDxfId="43">
      <calculatedColumnFormula>SUM(Table_Query_from_MS_Access_Database8[[#This Row],[HURF EX]:[STP OTHER]])</calculatedColumnFormula>
    </tableColumn>
    <tableColumn id="22" xr3:uid="{9BEE0B20-2F67-4A5D-8AA2-9F64453ED405}" uniqueName="22" name="DECLINING BALANCE OA" queryTableFieldId="22" dataDxfId="42">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34:V38" tableType="queryTable" totalsRowShown="0" headerRowDxfId="94" dataDxfId="93">
  <autoFilter ref="A34:V38" xr:uid="{D82CCCFA-7992-4186-98E6-C1F6F464E55D}"/>
  <sortState xmlns:xlrd2="http://schemas.microsoft.com/office/spreadsheetml/2017/richdata2" ref="A35:V38">
    <sortCondition ref="I34:I38"/>
  </sortState>
  <tableColumns count="22">
    <tableColumn id="1" xr3:uid="{5A5E70B4-C21E-4F2A-B802-F62F5D1D4789}" uniqueName="1" name="ADOT#" queryTableFieldId="1" dataDxfId="85"/>
    <tableColumn id="2" xr3:uid="{EB03DA71-8A81-4B1E-9949-F04AA7EFC4D7}" uniqueName="2" name="TIP#" queryTableFieldId="2" dataDxfId="84"/>
    <tableColumn id="3" xr3:uid="{F3DE661C-12BD-4AD4-BCDC-A2B488E9D5BC}" uniqueName="3" name="Sponsor" queryTableFieldId="3" dataDxfId="83"/>
    <tableColumn id="4" xr3:uid="{BCC11550-EFAA-4CEA-A571-E1C4F9BB1C43}" uniqueName="4" name="Action/15" queryTableFieldId="4" dataDxfId="82"/>
    <tableColumn id="5" xr3:uid="{73C5F250-E966-4C61-9589-8CC9646E2266}" uniqueName="5" name="Location" queryTableFieldId="5" dataDxfId="81"/>
    <tableColumn id="6" xr3:uid="{611523E2-4AB7-4D22-9C76-CFECDFCBFD88}" uniqueName="6" name="RTE" queryTableFieldId="6" dataDxfId="80"/>
    <tableColumn id="7" xr3:uid="{6DCBA9D2-530F-4718-8F7E-5A75C160F471}" uniqueName="7" name="SEC" queryTableFieldId="7" dataDxfId="79"/>
    <tableColumn id="8" xr3:uid="{F40BC65E-9CE6-40E0-AE76-772EDA9E5BD4}" uniqueName="8" name="SEQ" queryTableFieldId="8" dataDxfId="78"/>
    <tableColumn id="9" xr3:uid="{B72BE5FE-E1A3-40D5-AA62-39985F21A2D1}" uniqueName="9" name="PB Expected" queryTableFieldId="9" dataDxfId="77"/>
    <tableColumn id="10" xr3:uid="{1B503A56-AEB6-4BED-AA5D-F9FA08B27FA5}" uniqueName="10" name="PB Received" queryTableFieldId="10" dataDxfId="76"/>
    <tableColumn id="11" xr3:uid="{A0DCCD65-AE5E-4613-B71D-6D4E2AA2775F}" uniqueName="11" name="PF Transmitted" queryTableFieldId="11" dataDxfId="75"/>
    <tableColumn id="12" xr3:uid="{DD443D5E-0CC4-46F9-9466-A318EE4C250E}" uniqueName="12" name="Finance Authorization" queryTableFieldId="12" dataDxfId="74"/>
    <tableColumn id="13" xr3:uid="{C89DAD5D-97F9-4A2A-B867-BE60C44835EE}" uniqueName="13" name="HURF EX" queryTableFieldId="13" dataDxfId="73"/>
    <tableColumn id="14" xr3:uid="{24CE5C22-6D0A-4E33-87BE-E05F330A6974}" uniqueName="14" name="HSIP" queryTableFieldId="14" dataDxfId="72"/>
    <tableColumn id="15" xr3:uid="{0C46C2A1-1862-4CC6-A4F5-28B79C6F4919}" uniqueName="15" name="SPR" queryTableFieldId="15" dataDxfId="71"/>
    <tableColumn id="16" xr3:uid="{41D63A81-7287-4BC1-9927-B45A271B7B8A}" uniqueName="16" name="STP &lt;5" queryTableFieldId="16" dataDxfId="70"/>
    <tableColumn id="17" xr3:uid="{ACA39E2B-CEF9-44B4-854E-8A630819A1CC}" uniqueName="17" name="STP 5-200" queryTableFieldId="17" dataDxfId="69"/>
    <tableColumn id="18" xr3:uid="{DD97811A-9527-42FD-87D2-C195CCA5754D}" uniqueName="18" name="STP 5-50" queryTableFieldId="18" dataDxfId="68"/>
    <tableColumn id="19" xr3:uid="{F01EB7CF-FDFA-4132-BC8A-93A87D57C11C}" uniqueName="19" name="STP 50-200" queryTableFieldId="19" dataDxfId="67"/>
    <tableColumn id="20" xr3:uid="{83944E8C-3284-47A2-8838-294C6A4B85FE}" uniqueName="20" name="STP OTHER" queryTableFieldId="20" dataDxfId="66"/>
    <tableColumn id="21" xr3:uid="{602A6938-1FA9-4D9B-9C3F-D25226200805}" uniqueName="21" name="TOTAL OF AMOUNT" queryTableFieldId="21" dataDxfId="65">
      <calculatedColumnFormula>SUM(Table_Query_from_MS_Access_Database_1[[#This Row],[HURF EX]:[STP OTHER]])</calculatedColumnFormula>
    </tableColumn>
    <tableColumn id="22" xr3:uid="{312C9800-AA2E-4583-A72C-EE90356EF9D5}" uniqueName="22" name="EXPECTED DECLINING BALANCE OA" queryTableFieldId="22" dataDxfId="64">
      <calculatedColumnFormula>IF(ISTEXT(INDIRECT(ADDRESS(ROW()-1,COLUMN()))),INDIRECT(ADDRESS(12,COLUMN()))-SUM(Table_Query_from_MS_Access_Database8[TOTAL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U142" tableType="queryTable" totalsRowShown="0" headerRowDxfId="92" headerRowBorderDxfId="91" tableBorderDxfId="90" totalsRowBorderDxfId="89" headerRowCellStyle="Comma" dataCellStyle="Comma">
  <autoFilter ref="A11:U142" xr:uid="{00000000-0009-0000-0100-000004000000}"/>
  <tableColumns count="21">
    <tableColumn id="22" xr3:uid="{00000000-0010-0000-0200-000016000000}" uniqueName="22" name="Transaction Year" queryTableFieldId="1" dataDxfId="20" dataCellStyle="Comma"/>
    <tableColumn id="23" xr3:uid="{00000000-0010-0000-0200-000017000000}" uniqueName="23" name="Transaction Type" queryTableFieldId="2" dataDxfId="19" dataCellStyle="Comma"/>
    <tableColumn id="24" xr3:uid="{00000000-0010-0000-0200-000018000000}" uniqueName="24" name="Number" queryTableFieldId="3" dataDxfId="18" dataCellStyle="Comma"/>
    <tableColumn id="25" xr3:uid="{00000000-0010-0000-0200-000019000000}" uniqueName="25" name="From" queryTableFieldId="4" dataDxfId="17" dataCellStyle="Comma"/>
    <tableColumn id="26" xr3:uid="{00000000-0010-0000-0200-00001A000000}" uniqueName="26" name="To" queryTableFieldId="5" dataDxfId="16" dataCellStyle="Comma"/>
    <tableColumn id="27" xr3:uid="{00000000-0010-0000-0200-00001B000000}" uniqueName="27" name="Repayment Year" queryTableFieldId="6" dataDxfId="15" dataCellStyle="Comma"/>
    <tableColumn id="28" xr3:uid="{00000000-0010-0000-0200-00001C000000}" uniqueName="28" name="Project8" queryTableFieldId="7" dataDxfId="14" dataCellStyle="Comma"/>
    <tableColumn id="29" xr3:uid="{00000000-0010-0000-0200-00001D000000}" uniqueName="29" name="Notes" queryTableFieldId="8" dataDxfId="13" dataCellStyle="Comma"/>
    <tableColumn id="30" xr3:uid="{00000000-0010-0000-0200-00001E000000}" uniqueName="30" name="Total" queryTableFieldId="9" dataDxfId="12" dataCellStyle="Comma"/>
    <tableColumn id="31" xr3:uid="{00000000-0010-0000-0200-00001F000000}" uniqueName="31" name="HURF Exchange" queryTableFieldId="10" dataDxfId="11" dataCellStyle="Comma"/>
    <tableColumn id="32" xr3:uid="{00000000-0010-0000-0200-000020000000}" uniqueName="32" name="HSIP" queryTableFieldId="11" dataDxfId="10" dataCellStyle="Comma"/>
    <tableColumn id="33" xr3:uid="{00000000-0010-0000-0200-000021000000}" uniqueName="33" name="PLAN" queryTableFieldId="12" dataDxfId="9" dataCellStyle="Comma"/>
    <tableColumn id="34" xr3:uid="{00000000-0010-0000-0200-000022000000}" uniqueName="34" name="SPR" queryTableFieldId="13" dataDxfId="8" dataCellStyle="Comma"/>
    <tableColumn id="35" xr3:uid="{00000000-0010-0000-0200-000023000000}" uniqueName="35" name="STP &lt;5" queryTableFieldId="14" dataDxfId="7" dataCellStyle="Comma"/>
    <tableColumn id="36" xr3:uid="{00000000-0010-0000-0200-000024000000}" uniqueName="36" name="STP 5-2" queryTableFieldId="15" dataDxfId="6" dataCellStyle="Comma"/>
    <tableColumn id="37" xr3:uid="{00000000-0010-0000-0200-000025000000}" uniqueName="37" name="STP 5-50" queryTableFieldId="16" dataDxfId="5" dataCellStyle="Comma"/>
    <tableColumn id="38" xr3:uid="{00000000-0010-0000-0200-000026000000}" uniqueName="38" name="STP 50-200" queryTableFieldId="17" dataDxfId="4" dataCellStyle="Comma"/>
    <tableColumn id="39" xr3:uid="{00000000-0010-0000-0200-000027000000}" uniqueName="39" name="STP Flex" queryTableFieldId="18" dataDxfId="3" dataCellStyle="Comma"/>
    <tableColumn id="40" xr3:uid="{00000000-0010-0000-0200-000028000000}" uniqueName="40" name="TAP &lt;5" queryTableFieldId="19" dataDxfId="2" dataCellStyle="Comma"/>
    <tableColumn id="41" xr3:uid="{00000000-0010-0000-0200-000029000000}" uniqueName="41" name="TAP 5-2" queryTableFieldId="20" dataDxfId="1" dataCellStyle="Comma"/>
    <tableColumn id="42" xr3:uid="{00000000-0010-0000-0200-00002A000000}" uniqueName="42" name="TAP Flex" queryTableFieldId="21"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251:U382" tableType="queryTable" totalsRowShown="0" headerRowDxfId="88" dataDxfId="87" tableBorderDxfId="86" headerRowCellStyle="Comma" dataCellStyle="Comma">
  <autoFilter ref="A251:U382" xr:uid="{00000000-0009-0000-0100-000005000000}"/>
  <tableColumns count="21">
    <tableColumn id="22" xr3:uid="{00000000-0010-0000-0300-000016000000}" uniqueName="22" name="Transaction Year" queryTableFieldId="1" dataDxfId="41" dataCellStyle="Comma"/>
    <tableColumn id="23" xr3:uid="{00000000-0010-0000-0300-000017000000}" uniqueName="23" name="Transaction Type" queryTableFieldId="2" dataDxfId="40" dataCellStyle="Comma"/>
    <tableColumn id="24" xr3:uid="{00000000-0010-0000-0300-000018000000}" uniqueName="24" name="Number" queryTableFieldId="3" dataDxfId="39" dataCellStyle="Comma"/>
    <tableColumn id="25" xr3:uid="{00000000-0010-0000-0300-000019000000}" uniqueName="25" name="From" queryTableFieldId="4" dataDxfId="38" dataCellStyle="Comma"/>
    <tableColumn id="26" xr3:uid="{00000000-0010-0000-0300-00001A000000}" uniqueName="26" name="To" queryTableFieldId="5" dataDxfId="37" dataCellStyle="Comma"/>
    <tableColumn id="27" xr3:uid="{00000000-0010-0000-0300-00001B000000}" uniqueName="27" name="Repayment Year" queryTableFieldId="6" dataDxfId="36" dataCellStyle="Comma"/>
    <tableColumn id="28" xr3:uid="{00000000-0010-0000-0300-00001C000000}" uniqueName="28" name="Project8" queryTableFieldId="7" dataDxfId="35" dataCellStyle="Comma"/>
    <tableColumn id="29" xr3:uid="{00000000-0010-0000-0300-00001D000000}" uniqueName="29" name="Notes" queryTableFieldId="8" dataDxfId="34" dataCellStyle="Comma"/>
    <tableColumn id="30" xr3:uid="{00000000-0010-0000-0300-00001E000000}" uniqueName="30" name="Total" queryTableFieldId="9" dataDxfId="33" dataCellStyle="Comma"/>
    <tableColumn id="31" xr3:uid="{00000000-0010-0000-0300-00001F000000}" uniqueName="31" name="HURF Exchange" queryTableFieldId="10" dataDxfId="32" dataCellStyle="Comma"/>
    <tableColumn id="32" xr3:uid="{00000000-0010-0000-0300-000020000000}" uniqueName="32" name="HSIP" queryTableFieldId="11" dataDxfId="31" dataCellStyle="Comma"/>
    <tableColumn id="33" xr3:uid="{00000000-0010-0000-0300-000021000000}" uniqueName="33" name="PLAN" queryTableFieldId="12" dataDxfId="30" dataCellStyle="Comma"/>
    <tableColumn id="34" xr3:uid="{00000000-0010-0000-0300-000022000000}" uniqueName="34" name="SPR" queryTableFieldId="13" dataDxfId="29" dataCellStyle="Comma"/>
    <tableColumn id="35" xr3:uid="{00000000-0010-0000-0300-000023000000}" uniqueName="35" name="STP &lt;5" queryTableFieldId="14" dataDxfId="28" dataCellStyle="Comma"/>
    <tableColumn id="36" xr3:uid="{00000000-0010-0000-0300-000024000000}" uniqueName="36" name="STP 5-2" queryTableFieldId="15" dataDxfId="27" dataCellStyle="Comma"/>
    <tableColumn id="37" xr3:uid="{00000000-0010-0000-0300-000025000000}" uniqueName="37" name="STP 5-50" queryTableFieldId="16" dataDxfId="26" dataCellStyle="Comma"/>
    <tableColumn id="38" xr3:uid="{00000000-0010-0000-0300-000026000000}" uniqueName="38" name="STP 50-200" queryTableFieldId="17" dataDxfId="25" dataCellStyle="Comma"/>
    <tableColumn id="39" xr3:uid="{00000000-0010-0000-0300-000027000000}" uniqueName="39" name="STP Flex" queryTableFieldId="18" dataDxfId="24" dataCellStyle="Comma"/>
    <tableColumn id="40" xr3:uid="{00000000-0010-0000-0300-000028000000}" uniqueName="40" name="TAP &lt;5" queryTableFieldId="19" dataDxfId="23" dataCellStyle="Comma"/>
    <tableColumn id="41" xr3:uid="{00000000-0010-0000-0300-000029000000}" uniqueName="41" name="TAP 5-2" queryTableFieldId="20" dataDxfId="22" dataCellStyle="Comma"/>
    <tableColumn id="42" xr3:uid="{00000000-0010-0000-0300-00002A000000}" uniqueName="42" name="TAP Flex" queryTableFieldId="21" dataDxfId="21"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9"/>
  <sheetViews>
    <sheetView tabSelected="1" zoomScale="90" zoomScaleNormal="90" zoomScaleSheetLayoutView="85" workbookViewId="0">
      <selection activeCell="C7" sqref="C7"/>
    </sheetView>
  </sheetViews>
  <sheetFormatPr defaultColWidth="32" defaultRowHeight="13.8" outlineLevelCol="1"/>
  <cols>
    <col min="1" max="1" width="12.6640625" style="24" customWidth="1"/>
    <col min="2" max="2" width="15.6640625" style="24" customWidth="1"/>
    <col min="3" max="3" width="23.33203125" style="24" customWidth="1"/>
    <col min="4" max="4" width="15.6640625" style="24" customWidth="1"/>
    <col min="5" max="5" width="40.6640625" style="24" customWidth="1"/>
    <col min="6" max="6" width="10.88671875" style="24" hidden="1" customWidth="1" outlineLevel="1"/>
    <col min="7" max="7" width="9.109375" style="24" hidden="1" customWidth="1" outlineLevel="1"/>
    <col min="8" max="8" width="9.33203125" style="24" hidden="1" customWidth="1" outlineLevel="1"/>
    <col min="9" max="9" width="16" style="24" customWidth="1" collapsed="1"/>
    <col min="10" max="10" width="14.6640625" style="24" customWidth="1"/>
    <col min="11" max="11" width="16.88671875" style="24" customWidth="1"/>
    <col min="12" max="12" width="18.5546875" style="24" customWidth="1"/>
    <col min="13" max="13" width="14.88671875" style="24" customWidth="1"/>
    <col min="14" max="15" width="14.6640625" style="27" customWidth="1"/>
    <col min="16" max="16" width="15.6640625" style="27" bestFit="1" customWidth="1"/>
    <col min="17" max="18" width="14.6640625" style="27" customWidth="1"/>
    <col min="19" max="19" width="16.6640625" style="27" customWidth="1"/>
    <col min="20" max="20" width="17.33203125" style="27" customWidth="1"/>
    <col min="21" max="21" width="18.44140625" style="24" customWidth="1"/>
    <col min="22" max="22" width="21.33203125" style="24" customWidth="1"/>
    <col min="23" max="16384" width="32" style="24"/>
  </cols>
  <sheetData>
    <row r="1" spans="1:24" ht="23.25" customHeight="1" thickBot="1">
      <c r="A1" s="193" t="s">
        <v>119</v>
      </c>
      <c r="B1" s="193"/>
      <c r="C1" s="193"/>
      <c r="D1" s="193"/>
      <c r="E1" s="134"/>
      <c r="F1" s="134"/>
      <c r="J1" s="25"/>
      <c r="K1" s="26"/>
      <c r="L1" s="25"/>
      <c r="M1" s="192" t="s">
        <v>75</v>
      </c>
      <c r="N1" s="192"/>
      <c r="O1" s="192"/>
      <c r="P1" s="192"/>
      <c r="Q1" s="192"/>
      <c r="R1" s="192"/>
      <c r="S1" s="192"/>
      <c r="T1" s="192"/>
      <c r="U1" s="192"/>
    </row>
    <row r="2" spans="1:24" ht="21.6" customHeight="1">
      <c r="J2" s="25"/>
      <c r="K2" s="25"/>
      <c r="L2" s="25"/>
      <c r="M2" s="200" t="s">
        <v>12</v>
      </c>
      <c r="N2" s="201"/>
      <c r="O2" s="201"/>
      <c r="P2" s="201"/>
      <c r="Q2" s="201"/>
      <c r="R2" s="201"/>
      <c r="S2" s="201"/>
      <c r="T2" s="201"/>
      <c r="U2" s="202"/>
    </row>
    <row r="3" spans="1:24" ht="27.6" customHeight="1">
      <c r="A3" s="203" t="s">
        <v>369</v>
      </c>
      <c r="B3" s="203"/>
      <c r="C3" s="203"/>
      <c r="D3" s="28"/>
      <c r="E3" s="28"/>
      <c r="F3" s="28"/>
      <c r="G3" s="28"/>
      <c r="J3" s="25"/>
      <c r="K3" s="57"/>
      <c r="L3" s="96" t="s">
        <v>11</v>
      </c>
      <c r="M3" s="97" t="s">
        <v>181</v>
      </c>
      <c r="N3" s="98" t="s">
        <v>58</v>
      </c>
      <c r="O3" s="98" t="s">
        <v>54</v>
      </c>
      <c r="P3" s="98" t="s">
        <v>100</v>
      </c>
      <c r="Q3" s="98" t="s">
        <v>179</v>
      </c>
      <c r="R3" s="98" t="s">
        <v>264</v>
      </c>
      <c r="S3" s="98" t="s">
        <v>265</v>
      </c>
      <c r="T3" s="98" t="s">
        <v>6</v>
      </c>
      <c r="U3" s="98" t="s">
        <v>10</v>
      </c>
      <c r="V3" s="117" t="s">
        <v>15</v>
      </c>
    </row>
    <row r="4" spans="1:24" ht="23.4">
      <c r="A4" s="173"/>
      <c r="E4" s="29"/>
      <c r="F4" s="29"/>
      <c r="G4" s="29"/>
      <c r="J4" s="25"/>
      <c r="K4" s="25"/>
      <c r="L4" s="99" t="s">
        <v>104</v>
      </c>
      <c r="M4" s="100">
        <v>0</v>
      </c>
      <c r="N4" s="101">
        <v>0</v>
      </c>
      <c r="O4" s="101">
        <v>0</v>
      </c>
      <c r="P4" s="101">
        <v>0</v>
      </c>
      <c r="Q4" s="101">
        <v>0</v>
      </c>
      <c r="R4" s="101">
        <v>0</v>
      </c>
      <c r="S4" s="101">
        <v>0</v>
      </c>
      <c r="T4" s="101">
        <v>0</v>
      </c>
      <c r="U4" s="101">
        <f t="shared" ref="U4:U12" si="0">SUM(M4:T4)</f>
        <v>0</v>
      </c>
      <c r="V4" s="118">
        <v>0</v>
      </c>
    </row>
    <row r="5" spans="1:24" ht="22.8">
      <c r="A5" s="199" t="s">
        <v>345</v>
      </c>
      <c r="B5" s="199"/>
      <c r="C5" s="199"/>
      <c r="D5" s="199"/>
      <c r="J5" s="25"/>
      <c r="K5" s="25"/>
      <c r="L5" s="107" t="s">
        <v>96</v>
      </c>
      <c r="M5" s="102">
        <v>0</v>
      </c>
      <c r="N5" s="103">
        <v>0</v>
      </c>
      <c r="O5" s="104">
        <f>'FY26 Apportionments'!D3</f>
        <v>125000</v>
      </c>
      <c r="P5" s="104">
        <f>'FY26 Apportionments'!D7</f>
        <v>1131835</v>
      </c>
      <c r="Q5" s="103">
        <f>'FY26 Apportionments'!D4</f>
        <v>0</v>
      </c>
      <c r="R5" s="104">
        <f>'FY26 Apportionments'!D5</f>
        <v>733322</v>
      </c>
      <c r="S5" s="103">
        <f>'FY26 Apportionments'!F6</f>
        <v>0</v>
      </c>
      <c r="T5" s="103">
        <v>0</v>
      </c>
      <c r="U5" s="103">
        <f t="shared" si="0"/>
        <v>1990157</v>
      </c>
      <c r="V5" s="119">
        <f>ROUND(+'Federal Funds Transactions'!$U5*0.949,0)</f>
        <v>1888659</v>
      </c>
      <c r="X5" s="27">
        <f>U5-V5</f>
        <v>101498</v>
      </c>
    </row>
    <row r="6" spans="1:24">
      <c r="A6" s="62" t="s">
        <v>77</v>
      </c>
      <c r="C6" s="52">
        <v>46024</v>
      </c>
      <c r="J6" s="25"/>
      <c r="K6" s="25"/>
      <c r="L6" s="99" t="s">
        <v>66</v>
      </c>
      <c r="M6" s="105">
        <f>SUMIFS(Table_Query_from_MS_Access_Database[[#All],[HURF Exchange]],Table_Query_from_MS_Access_Database[[#All],[Transaction Year]],"2026",Table_Query_from_MS_Access_Database[[#All],[Transaction Type]],"loan in")</f>
        <v>0</v>
      </c>
      <c r="N6" s="106">
        <f>SUMIFS(Table_Query_from_MS_Access_Database[[#All],[HSIP]],Table_Query_from_MS_Access_Database[[#All],[Transaction Year]],"2026",Table_Query_from_MS_Access_Database[[#All],[Transaction Type]],"loan in")</f>
        <v>0</v>
      </c>
      <c r="O6" s="106">
        <f>SUMIFS(Table_Query_from_MS_Access_Database[[#All],[SPR]],Table_Query_from_MS_Access_Database[[#All],[Transaction Year]],"2026",Table_Query_from_MS_Access_Database[[#All],[Transaction Type]],"loan in")</f>
        <v>0</v>
      </c>
      <c r="P6" s="106">
        <f>SUMIFS(Table_Query_from_MS_Access_Database[[#All],[STP &lt;5]],Table_Query_from_MS_Access_Database[[#All],[Transaction Year]],"2026",Table_Query_from_MS_Access_Database[[#All],[Transaction Type]],"loan in")</f>
        <v>0</v>
      </c>
      <c r="Q6" s="106">
        <f>SUMIFS(Table_Query_from_MS_Access_Database[[#All],[STP 5-2]],Table_Query_from_MS_Access_Database[[#All],[Transaction Year]],"2026",Table_Query_from_MS_Access_Database[[#All],[Transaction Type]],"loan in")</f>
        <v>0</v>
      </c>
      <c r="R6" s="106">
        <f>SUMIFS(Table_Query_from_MS_Access_Database[[#All],[STP 5-50]],Table_Query_from_MS_Access_Database[[#All],[Transaction Year]],"2026",Table_Query_from_MS_Access_Database[[#All],[Transaction Type]],"loan in")</f>
        <v>0</v>
      </c>
      <c r="S6" s="106">
        <f>SUMIFS(Table_Query_from_MS_Access_Database[[#All],[STP 50-200]],Table_Query_from_MS_Access_Database[[#All],[Transaction Year]],"2026",Table_Query_from_MS_Access_Database[[#All],[Transaction Type]],"loan in")</f>
        <v>0</v>
      </c>
      <c r="T6" s="106">
        <f>SUMIFS(Table_Query_from_MS_Access_Database[[#All],[STP Flex]],Table_Query_from_MS_Access_Database[[#All],[Transaction Year]],"2026",Table_Query_from_MS_Access_Database[[#All],[Transaction Type]],"loan in")</f>
        <v>0</v>
      </c>
      <c r="U6" s="101">
        <f t="shared" si="0"/>
        <v>0</v>
      </c>
      <c r="V6" s="120">
        <f>SUMIFS(Table_Query_from_MS_Access_Database_16[[#All],[Total]],Table_Query_from_MS_Access_Database_16[[#All],[Transaction Year]],"2026",Table_Query_from_MS_Access_Database_16[[#All],[Transaction Type]],"Loan In")</f>
        <v>0</v>
      </c>
    </row>
    <row r="7" spans="1:24">
      <c r="A7" s="31"/>
      <c r="J7" s="25"/>
      <c r="K7" s="25"/>
      <c r="L7" s="107" t="s">
        <v>67</v>
      </c>
      <c r="M7" s="108">
        <f>SUMIFS(Table_Query_from_MS_Access_Database[[#All],[HURF Exchange]],Table_Query_from_MS_Access_Database[[#All],[Transaction Year]],"2026",Table_Query_from_MS_Access_Database[[#All],[Transaction Type]],"loan Out")</f>
        <v>0</v>
      </c>
      <c r="N7" s="109">
        <f>SUMIFS(Table_Query_from_MS_Access_Database[[#All],[HSIP]],Table_Query_from_MS_Access_Database[[#All],[Transaction Year]],"2026",Table_Query_from_MS_Access_Database[[#All],[Transaction Type]],"loan Out")</f>
        <v>0</v>
      </c>
      <c r="O7" s="109">
        <f>SUMIFS(Table_Query_from_MS_Access_Database[[#All],[SPR]],Table_Query_from_MS_Access_Database[[#All],[Transaction Year]],"2026",Table_Query_from_MS_Access_Database[[#All],[Transaction Type]],"loan Out")</f>
        <v>0</v>
      </c>
      <c r="P7" s="109">
        <f>SUMIFS(Table_Query_from_MS_Access_Database[[#All],[STP &lt;5]],Table_Query_from_MS_Access_Database[[#All],[Transaction Year]],"2026",Table_Query_from_MS_Access_Database[[#All],[Transaction Type]],"loan Out")</f>
        <v>-749250</v>
      </c>
      <c r="Q7" s="109">
        <f>SUMIFS(Table_Query_from_MS_Access_Database[[#All],[STP 5-2]],Table_Query_from_MS_Access_Database[[#All],[Transaction Year]],"2026",Table_Query_from_MS_Access_Database[[#All],[Transaction Type]],"loan Out")</f>
        <v>0</v>
      </c>
      <c r="R7" s="109">
        <f>SUMIFS(Table_Query_from_MS_Access_Database[[#All],[STP 5-50]],Table_Query_from_MS_Access_Database[[#All],[Transaction Year]],"2026",Table_Query_from_MS_Access_Database[[#All],[Transaction Type]],"loan Out")</f>
        <v>0</v>
      </c>
      <c r="S7" s="109">
        <f>SUMIFS(Table_Query_from_MS_Access_Database[[#All],[STP 50-200]],Table_Query_from_MS_Access_Database[[#All],[Transaction Year]],"2026",Table_Query_from_MS_Access_Database[[#All],[Transaction Type]],"loan Out")</f>
        <v>0</v>
      </c>
      <c r="T7" s="109">
        <f>SUMIFS(Table_Query_from_MS_Access_Database[[#All],[STP Flex]],Table_Query_from_MS_Access_Database[[#All],[Transaction Year]],"2026",Table_Query_from_MS_Access_Database[[#All],[Transaction Type]],"loan Out")</f>
        <v>0</v>
      </c>
      <c r="U7" s="103">
        <f t="shared" si="0"/>
        <v>-749250</v>
      </c>
      <c r="V7" s="121">
        <f>SUMIFS(Table_Query_from_MS_Access_Database_16[[#All],[Total]],Table_Query_from_MS_Access_Database_16[[#All],[Transaction Year]],"2026",Table_Query_from_MS_Access_Database_16[[#All],[Transaction Type]],"loan out")</f>
        <v>-749250</v>
      </c>
    </row>
    <row r="8" spans="1:24">
      <c r="J8" s="25"/>
      <c r="K8" s="25"/>
      <c r="L8" s="99" t="s">
        <v>68</v>
      </c>
      <c r="M8" s="105">
        <f>SUMIFS(Table_Query_from_MS_Access_Database[[#All],[HURF Exchange]],Table_Query_from_MS_Access_Database[[#All],[Transaction Year]],"2026",Table_Query_from_MS_Access_Database[[#All],[Transaction Type]],"repayment in")</f>
        <v>0</v>
      </c>
      <c r="N8" s="106">
        <f>SUMIFS(Table_Query_from_MS_Access_Database[[#All],[HSIP]],Table_Query_from_MS_Access_Database[[#All],[Transaction Year]],"2026",Table_Query_from_MS_Access_Database[[#All],[Transaction Type]],"repayment in")</f>
        <v>0</v>
      </c>
      <c r="O8" s="106">
        <f>SUMIFS(Table_Query_from_MS_Access_Database[[#All],[SPR]],Table_Query_from_MS_Access_Database[[#All],[Transaction Year]],"2026",Table_Query_from_MS_Access_Database[[#All],[Transaction Type]],"repayment in")</f>
        <v>0</v>
      </c>
      <c r="P8" s="106">
        <f>SUMIFS(Table_Query_from_MS_Access_Database[[#All],[STP &lt;5]],Table_Query_from_MS_Access_Database[[#All],[Transaction Year]],"2026",Table_Query_from_MS_Access_Database[[#All],[Transaction Type]],"repayment in")</f>
        <v>202434</v>
      </c>
      <c r="Q8" s="106">
        <f>SUMIFS(Table_Query_from_MS_Access_Database[[#All],[STP 5-2]],Table_Query_from_MS_Access_Database[[#All],[Transaction Year]],"2026",Table_Query_from_MS_Access_Database[[#All],[Transaction Type]],"repayment in")</f>
        <v>0</v>
      </c>
      <c r="R8" s="106">
        <f>SUMIFS(Table_Query_from_MS_Access_Database[[#All],[STP 5-50]],Table_Query_from_MS_Access_Database[[#All],[Transaction Year]],"2026",Table_Query_from_MS_Access_Database[[#All],[Transaction Type]],"repayment in")</f>
        <v>227372.35</v>
      </c>
      <c r="S8" s="106">
        <f>SUMIFS(Table_Query_from_MS_Access_Database[[#All],[STP 50-200]],Table_Query_from_MS_Access_Database[[#All],[Transaction Year]],"2026",Table_Query_from_MS_Access_Database[[#All],[Transaction Type]],"repayment in")</f>
        <v>0</v>
      </c>
      <c r="T8" s="106">
        <f>SUMIFS(Table_Query_from_MS_Access_Database[[#All],[STP Flex]],Table_Query_from_MS_Access_Database[[#All],[Transaction Year]],"2026",Table_Query_from_MS_Access_Database[[#All],[Transaction Type]],"repayment in")</f>
        <v>0</v>
      </c>
      <c r="U8" s="101">
        <f t="shared" si="0"/>
        <v>429806.35</v>
      </c>
      <c r="V8" s="120">
        <f>SUMIFS(Table_Query_from_MS_Access_Database_16[[#All],[Total]],Table_Query_from_MS_Access_Database_16[[#All],[Transaction Year]],"2026",Table_Query_from_MS_Access_Database_16[[#All],[Transaction Type]],"repayment In")</f>
        <v>429806.35</v>
      </c>
    </row>
    <row r="9" spans="1:24" ht="15.6" customHeight="1">
      <c r="A9" s="131" t="s">
        <v>82</v>
      </c>
      <c r="L9" s="107" t="s">
        <v>69</v>
      </c>
      <c r="M9" s="108">
        <f>SUMIFS(Table_Query_from_MS_Access_Database[[#All],[HURF Exchange]],Table_Query_from_MS_Access_Database[[#All],[Transaction Year]],"2026",Table_Query_from_MS_Access_Database[[#All],[Transaction Type]],"repayment Out")</f>
        <v>0</v>
      </c>
      <c r="N9" s="109">
        <f>SUMIFS(Table_Query_from_MS_Access_Database[[#All],[HSIP]],Table_Query_from_MS_Access_Database[[#All],[Transaction Year]],"2026",Table_Query_from_MS_Access_Database[[#All],[Transaction Type]],"repayment Out")</f>
        <v>0</v>
      </c>
      <c r="O9" s="109">
        <f>SUMIFS(Table_Query_from_MS_Access_Database[[#All],[SPR]],Table_Query_from_MS_Access_Database[[#All],[Transaction Year]],"2026",Table_Query_from_MS_Access_Database[[#All],[Transaction Type]],"repayment Out")</f>
        <v>0</v>
      </c>
      <c r="P9" s="109">
        <f>SUMIFS(Table_Query_from_MS_Access_Database[[#All],[STP &lt;5]],Table_Query_from_MS_Access_Database[[#All],[Transaction Year]],"2026",Table_Query_from_MS_Access_Database[[#All],[Transaction Type]],"repayment Out")</f>
        <v>0</v>
      </c>
      <c r="Q9" s="109">
        <f>SUMIFS(Table_Query_from_MS_Access_Database[[#All],[STP 5-2]],Table_Query_from_MS_Access_Database[[#All],[Transaction Year]],"2026",Table_Query_from_MS_Access_Database[[#All],[Transaction Type]],"repayment Out")</f>
        <v>0</v>
      </c>
      <c r="R9" s="109">
        <f>SUMIFS(Table_Query_from_MS_Access_Database[[#All],[STP 5-50]],Table_Query_from_MS_Access_Database[[#All],[Transaction Year]],"2026",Table_Query_from_MS_Access_Database[[#All],[Transaction Type]],"repayment Out")</f>
        <v>0</v>
      </c>
      <c r="S9" s="109">
        <f>SUMIFS(Table_Query_from_MS_Access_Database[[#All],[STP 50-200]],Table_Query_from_MS_Access_Database[[#All],[Transaction Year]],"2026",Table_Query_from_MS_Access_Database[[#All],[Transaction Type]],"repayment Out")</f>
        <v>0</v>
      </c>
      <c r="T9" s="109">
        <f>SUMIFS(Table_Query_from_MS_Access_Database[[#All],[STP Flex]],Table_Query_from_MS_Access_Database[[#All],[Transaction Year]],"2026",Table_Query_from_MS_Access_Database[[#All],[Transaction Type]],"repayment Out")</f>
        <v>0</v>
      </c>
      <c r="U9" s="103">
        <f t="shared" si="0"/>
        <v>0</v>
      </c>
      <c r="V9" s="121">
        <f>SUMIFS(Table_Query_from_MS_Access_Database_16[[#All],[Total]],Table_Query_from_MS_Access_Database_16[[#All],[Transaction Year]],"2026",Table_Query_from_MS_Access_Database_16[[#All],[Transaction Type]],"Repayment Out")</f>
        <v>0</v>
      </c>
    </row>
    <row r="10" spans="1:24">
      <c r="J10" s="25"/>
      <c r="K10" s="25"/>
      <c r="L10" s="99" t="s">
        <v>70</v>
      </c>
      <c r="M10" s="105">
        <f>SUMIFS(Table_Query_from_MS_Access_Database[[#All],[HURF Exchange]],Table_Query_from_MS_Access_Database[[#All],[Transaction Year]],"2026",Table_Query_from_MS_Access_Database[[#All],[Transaction Type]],"Transfer in")</f>
        <v>0</v>
      </c>
      <c r="N10" s="106">
        <f>SUMIFS(Table_Query_from_MS_Access_Database[[#All],[HSIP]],Table_Query_from_MS_Access_Database[[#All],[Transaction Year]],"2026",Table_Query_from_MS_Access_Database[[#All],[Transaction Type]],"Transfer in")</f>
        <v>0</v>
      </c>
      <c r="O10" s="106">
        <f>SUMIFS(Table_Query_from_MS_Access_Database[[#All],[SPR]],Table_Query_from_MS_Access_Database[[#All],[Transaction Year]],"2026",Table_Query_from_MS_Access_Database[[#All],[Transaction Type]],"Transfer in")</f>
        <v>0</v>
      </c>
      <c r="P10" s="106">
        <f>SUMIFS(Table_Query_from_MS_Access_Database[[#All],[STP &lt;5]],Table_Query_from_MS_Access_Database[[#All],[Transaction Year]],"2026",Table_Query_from_MS_Access_Database[[#All],[Transaction Type]],"Transfer in")</f>
        <v>0</v>
      </c>
      <c r="Q10" s="106">
        <f>SUMIFS(Table_Query_from_MS_Access_Database[[#All],[STP 5-2]],Table_Query_from_MS_Access_Database[[#All],[Transaction Year]],"2026",Table_Query_from_MS_Access_Database[[#All],[Transaction Type]],"Transfer in")</f>
        <v>0</v>
      </c>
      <c r="R10" s="106">
        <f>SUMIFS(Table_Query_from_MS_Access_Database[[#All],[STP 5-50]],Table_Query_from_MS_Access_Database[[#All],[Transaction Year]],"2026",Table_Query_from_MS_Access_Database[[#All],[Transaction Type]],"Transfer in")</f>
        <v>0</v>
      </c>
      <c r="S10" s="106">
        <f>SUMIFS(Table_Query_from_MS_Access_Database[[#All],[STP 50-200]],Table_Query_from_MS_Access_Database[[#All],[Transaction Year]],"2026",Table_Query_from_MS_Access_Database[[#All],[Transaction Type]],"Transfer in")</f>
        <v>0</v>
      </c>
      <c r="T10" s="106">
        <f>SUMIFS(Table_Query_from_MS_Access_Database[[#All],[STP Flex]],Table_Query_from_MS_Access_Database[[#All],[Transaction Year]],"2026",Table_Query_from_MS_Access_Database[[#All],[Transaction Type]],"Transfer in")</f>
        <v>0</v>
      </c>
      <c r="U10" s="101">
        <f t="shared" si="0"/>
        <v>0</v>
      </c>
      <c r="V10" s="120">
        <f>SUMIFS(Table_Query_from_MS_Access_Database_16[[#All],[Total]],Table_Query_from_MS_Access_Database_16[[#All],[Transaction Year]],"2026",Table_Query_from_MS_Access_Database_16[[#All],[Transaction Type]],"Transfer In")</f>
        <v>0</v>
      </c>
    </row>
    <row r="11" spans="1:24">
      <c r="F11" s="32"/>
      <c r="G11" s="32"/>
      <c r="J11" s="25"/>
      <c r="K11" s="25"/>
      <c r="L11" s="107" t="s">
        <v>71</v>
      </c>
      <c r="M11" s="108">
        <f>SUMIFS(Table_Query_from_MS_Access_Database[[#All],[HURF Exchange]],Table_Query_from_MS_Access_Database[[#All],[Transaction Year]],"2026",Table_Query_from_MS_Access_Database[[#All],[Transaction Type]],"Transfer Out")</f>
        <v>0</v>
      </c>
      <c r="N11" s="109">
        <f>SUMIFS(Table_Query_from_MS_Access_Database[[#All],[HSIP]],Table_Query_from_MS_Access_Database[[#All],[Transaction Year]],"2026",Table_Query_from_MS_Access_Database[[#All],[Transaction Type]],"Transfer Out")</f>
        <v>0</v>
      </c>
      <c r="O11" s="109">
        <f>SUMIFS(Table_Query_from_MS_Access_Database[[#All],[SPR]],Table_Query_from_MS_Access_Database[[#All],[Transaction Year]],"2026",Table_Query_from_MS_Access_Database[[#All],[Transaction Type]],"Transfer Out")</f>
        <v>0</v>
      </c>
      <c r="P11" s="109">
        <f>SUMIFS(Table_Query_from_MS_Access_Database[[#All],[STP &lt;5]],Table_Query_from_MS_Access_Database[[#All],[Transaction Year]],"2026",Table_Query_from_MS_Access_Database[[#All],[Transaction Type]],"Transfer Out")</f>
        <v>0</v>
      </c>
      <c r="Q11" s="109">
        <f>SUMIFS(Table_Query_from_MS_Access_Database[[#All],[STP 5-2]],Table_Query_from_MS_Access_Database[[#All],[Transaction Year]],"2026",Table_Query_from_MS_Access_Database[[#All],[Transaction Type]],"Transfer Out")</f>
        <v>0</v>
      </c>
      <c r="R11" s="109">
        <f>SUMIFS(Table_Query_from_MS_Access_Database[[#All],[STP 5-50]],Table_Query_from_MS_Access_Database[[#All],[Transaction Year]],"2026",Table_Query_from_MS_Access_Database[[#All],[Transaction Type]],"Transfer Out")</f>
        <v>0</v>
      </c>
      <c r="S11" s="109">
        <f>SUMIFS(Table_Query_from_MS_Access_Database[[#All],[STP 50-200]],Table_Query_from_MS_Access_Database[[#All],[Transaction Year]],"2026",Table_Query_from_MS_Access_Database[[#All],[Transaction Type]],"Transfer Out")</f>
        <v>0</v>
      </c>
      <c r="T11" s="109">
        <f>SUMIFS(Table_Query_from_MS_Access_Database[[#All],[STP Flex]],Table_Query_from_MS_Access_Database[[#All],[Transaction Year]],"2026",Table_Query_from_MS_Access_Database[[#All],[Transaction Type]],"Transfer Out")</f>
        <v>0</v>
      </c>
      <c r="U11" s="103">
        <f t="shared" si="0"/>
        <v>0</v>
      </c>
      <c r="V11" s="121">
        <f>SUMIFS(Table_Query_from_MS_Access_Database_16[[#All],[Total]],Table_Query_from_MS_Access_Database_16[[#All],[Transaction Year]],"2026",Table_Query_from_MS_Access_Database_16[[#All],[Transaction Type]],"Transfer Out")</f>
        <v>0</v>
      </c>
    </row>
    <row r="12" spans="1:24" ht="24">
      <c r="J12" s="25"/>
      <c r="K12" s="25"/>
      <c r="L12" s="110" t="s">
        <v>103</v>
      </c>
      <c r="M12" s="111">
        <f t="shared" ref="M12" si="1">SUM(M4:M11)</f>
        <v>0</v>
      </c>
      <c r="N12" s="112">
        <f>SUM(N4:N11)</f>
        <v>0</v>
      </c>
      <c r="O12" s="112">
        <f>SUM(O4:O11)</f>
        <v>125000</v>
      </c>
      <c r="P12" s="112">
        <f>SUM(P4:P11)</f>
        <v>585019</v>
      </c>
      <c r="Q12" s="112">
        <f>SUM(Q4:Q11)</f>
        <v>0</v>
      </c>
      <c r="R12" s="112">
        <f t="shared" ref="R12:S12" si="2">SUM(R4:R11)</f>
        <v>960694.35</v>
      </c>
      <c r="S12" s="112">
        <f t="shared" si="2"/>
        <v>0</v>
      </c>
      <c r="T12" s="112">
        <f t="shared" ref="T12" si="3">SUM(T4:T11)</f>
        <v>0</v>
      </c>
      <c r="U12" s="112">
        <f t="shared" si="0"/>
        <v>1670713.35</v>
      </c>
      <c r="V12" s="122">
        <f>SUM(V4:V11)</f>
        <v>1569215.35</v>
      </c>
      <c r="W12" s="27"/>
    </row>
    <row r="13" spans="1:24">
      <c r="J13" s="25"/>
      <c r="K13" s="25"/>
      <c r="L13" s="25"/>
      <c r="M13" s="25"/>
      <c r="N13" s="33"/>
      <c r="O13" s="34"/>
      <c r="P13" s="34"/>
      <c r="Q13" s="34"/>
      <c r="R13" s="34"/>
      <c r="S13" s="34"/>
      <c r="T13" s="30"/>
    </row>
    <row r="14" spans="1:24" ht="15.75" customHeight="1">
      <c r="A14" s="130" t="s">
        <v>59</v>
      </c>
      <c r="B14" s="130"/>
      <c r="C14" s="130"/>
      <c r="D14" s="130"/>
      <c r="J14" s="196" t="s">
        <v>60</v>
      </c>
      <c r="K14" s="197"/>
      <c r="L14" s="198"/>
      <c r="M14" s="149"/>
      <c r="N14" s="35"/>
      <c r="R14" s="30"/>
      <c r="S14" s="30"/>
      <c r="T14" s="30"/>
    </row>
    <row r="15" spans="1:24" ht="32.4" customHeight="1">
      <c r="A15" s="139" t="s">
        <v>1</v>
      </c>
      <c r="B15" s="139" t="s">
        <v>0</v>
      </c>
      <c r="C15" s="139" t="s">
        <v>3</v>
      </c>
      <c r="D15" s="139" t="s">
        <v>79</v>
      </c>
      <c r="E15" s="139" t="s">
        <v>2</v>
      </c>
      <c r="F15" s="139" t="s">
        <v>44</v>
      </c>
      <c r="G15" s="139" t="s">
        <v>45</v>
      </c>
      <c r="H15" s="139" t="s">
        <v>46</v>
      </c>
      <c r="I15" s="139" t="s">
        <v>47</v>
      </c>
      <c r="J15" s="139" t="s">
        <v>48</v>
      </c>
      <c r="K15" s="139" t="s">
        <v>49</v>
      </c>
      <c r="L15" s="139" t="s">
        <v>50</v>
      </c>
      <c r="M15" s="139" t="s">
        <v>181</v>
      </c>
      <c r="N15" s="139" t="s">
        <v>4</v>
      </c>
      <c r="O15" s="139" t="s">
        <v>5</v>
      </c>
      <c r="P15" s="139" t="s">
        <v>100</v>
      </c>
      <c r="Q15" s="139" t="s">
        <v>179</v>
      </c>
      <c r="R15" s="139" t="s">
        <v>264</v>
      </c>
      <c r="S15" s="139" t="s">
        <v>265</v>
      </c>
      <c r="T15" s="139" t="s">
        <v>51</v>
      </c>
      <c r="U15" s="139" t="s">
        <v>80</v>
      </c>
      <c r="V15" s="139" t="s">
        <v>87</v>
      </c>
    </row>
    <row r="16" spans="1:24" s="38" customFormat="1" ht="11.4">
      <c r="A16" s="136" t="s">
        <v>375</v>
      </c>
      <c r="B16" s="157" t="s">
        <v>356</v>
      </c>
      <c r="C16" s="153" t="s">
        <v>114</v>
      </c>
      <c r="D16" s="136" t="s">
        <v>8</v>
      </c>
      <c r="E16" s="152" t="s">
        <v>376</v>
      </c>
      <c r="F16" s="137" t="s">
        <v>358</v>
      </c>
      <c r="G16" s="137" t="s">
        <v>359</v>
      </c>
      <c r="H16" s="137" t="s">
        <v>377</v>
      </c>
      <c r="I16" s="148"/>
      <c r="J16" s="138">
        <v>45979</v>
      </c>
      <c r="K16" s="138">
        <v>45985</v>
      </c>
      <c r="L16" s="138">
        <v>45985</v>
      </c>
      <c r="M16" s="147"/>
      <c r="N16" s="147"/>
      <c r="O16" s="147"/>
      <c r="P16" s="147">
        <v>-43347.58</v>
      </c>
      <c r="Q16" s="147"/>
      <c r="R16" s="147"/>
      <c r="S16" s="147"/>
      <c r="T16" s="147"/>
      <c r="U16" s="147">
        <f>SUM(Table_Query_from_MS_Access_Database8[[#This Row],[HURF EX]:[STP OTHER]])</f>
        <v>-43347.58</v>
      </c>
      <c r="V16" s="147">
        <f ca="1">IF(ISTEXT(INDIRECT(ADDRESS(ROW()-1,COLUMN()))), INDIRECT(ADDRESS(12,COLUMN())),INDIRECT(ADDRESS(ROW()-1,COLUMN())))-Table_Query_from_MS_Access_Database8[[#This Row],[TOTAL OF AMOUNT]]</f>
        <v>1612562.9300000002</v>
      </c>
    </row>
    <row r="17" spans="1:22" s="38" customFormat="1" ht="13.5" customHeight="1">
      <c r="A17" s="157" t="s">
        <v>355</v>
      </c>
      <c r="B17" s="157" t="s">
        <v>356</v>
      </c>
      <c r="C17" s="158" t="s">
        <v>114</v>
      </c>
      <c r="D17" s="157" t="s">
        <v>8</v>
      </c>
      <c r="E17" s="159" t="s">
        <v>357</v>
      </c>
      <c r="F17" s="160" t="s">
        <v>358</v>
      </c>
      <c r="G17" s="160" t="s">
        <v>359</v>
      </c>
      <c r="H17" s="160" t="s">
        <v>360</v>
      </c>
      <c r="I17" s="184"/>
      <c r="J17" s="161">
        <v>45979</v>
      </c>
      <c r="K17" s="161">
        <v>45985</v>
      </c>
      <c r="L17" s="161">
        <v>45989</v>
      </c>
      <c r="M17" s="163"/>
      <c r="N17" s="163"/>
      <c r="O17" s="163"/>
      <c r="P17" s="163">
        <v>43347.58</v>
      </c>
      <c r="Q17" s="163"/>
      <c r="R17" s="163"/>
      <c r="S17" s="163"/>
      <c r="T17" s="163"/>
      <c r="U17" s="163">
        <f>SUM(Table_Query_from_MS_Access_Database8[[#This Row],[HURF EX]:[STP OTHER]])</f>
        <v>43347.58</v>
      </c>
      <c r="V17" s="163">
        <f ca="1">IF(ISTEXT(INDIRECT(ADDRESS(ROW()-1,COLUMN()))), INDIRECT(ADDRESS(12,COLUMN())),INDIRECT(ADDRESS(ROW()-1,COLUMN())))-Table_Query_from_MS_Access_Database8[[#This Row],[TOTAL OF AMOUNT]]</f>
        <v>1569215.35</v>
      </c>
    </row>
    <row r="18" spans="1:22" s="38" customFormat="1" ht="13.2" hidden="1" customHeight="1">
      <c r="A18" s="157"/>
      <c r="B18" s="157"/>
      <c r="C18" s="158"/>
      <c r="D18" s="157"/>
      <c r="E18" s="159"/>
      <c r="F18" s="160"/>
      <c r="G18" s="160"/>
      <c r="H18" s="160"/>
      <c r="I18" s="184"/>
      <c r="J18" s="161"/>
      <c r="K18" s="161"/>
      <c r="L18" s="161"/>
      <c r="M18" s="163"/>
      <c r="N18" s="163"/>
      <c r="O18" s="163"/>
      <c r="P18" s="163"/>
      <c r="Q18" s="163"/>
      <c r="R18" s="163"/>
      <c r="S18" s="163"/>
      <c r="T18" s="163"/>
      <c r="U18" s="163"/>
      <c r="V18" s="163"/>
    </row>
    <row r="19" spans="1:22" s="38" customFormat="1" ht="13.2" hidden="1" customHeight="1">
      <c r="A19" s="157"/>
      <c r="B19" s="157"/>
      <c r="C19" s="158"/>
      <c r="D19" s="157"/>
      <c r="E19" s="159"/>
      <c r="F19" s="160"/>
      <c r="G19" s="160"/>
      <c r="H19" s="160"/>
      <c r="I19" s="184"/>
      <c r="J19" s="161"/>
      <c r="K19" s="161"/>
      <c r="L19" s="161"/>
      <c r="M19" s="163"/>
      <c r="N19" s="163"/>
      <c r="O19" s="163"/>
      <c r="P19" s="163"/>
      <c r="Q19" s="163"/>
      <c r="R19" s="163"/>
      <c r="S19" s="163"/>
      <c r="T19" s="163"/>
      <c r="U19" s="163"/>
      <c r="V19" s="163"/>
    </row>
    <row r="20" spans="1:22" s="38" customFormat="1" ht="13.2" hidden="1" customHeight="1">
      <c r="A20" s="157"/>
      <c r="B20" s="157"/>
      <c r="C20" s="158"/>
      <c r="D20" s="157"/>
      <c r="E20" s="159"/>
      <c r="F20" s="160"/>
      <c r="G20" s="160"/>
      <c r="H20" s="160"/>
      <c r="I20" s="184"/>
      <c r="J20" s="161"/>
      <c r="K20" s="161"/>
      <c r="L20" s="161"/>
      <c r="M20" s="163"/>
      <c r="N20" s="163"/>
      <c r="O20" s="163"/>
      <c r="P20" s="163"/>
      <c r="Q20" s="163"/>
      <c r="R20" s="163"/>
      <c r="S20" s="163"/>
      <c r="T20" s="163"/>
      <c r="U20" s="163"/>
      <c r="V20" s="163"/>
    </row>
    <row r="21" spans="1:22" s="61" customFormat="1" ht="13.5" hidden="1" customHeight="1">
      <c r="A21" s="157"/>
      <c r="B21" s="157"/>
      <c r="C21" s="158"/>
      <c r="D21" s="157"/>
      <c r="E21" s="159"/>
      <c r="F21" s="160"/>
      <c r="G21" s="160"/>
      <c r="H21" s="160"/>
      <c r="I21" s="184"/>
      <c r="J21" s="161"/>
      <c r="K21" s="161"/>
      <c r="L21" s="161"/>
      <c r="M21" s="163"/>
      <c r="N21" s="163"/>
      <c r="O21" s="163"/>
      <c r="P21" s="163"/>
      <c r="Q21" s="163"/>
      <c r="R21" s="163"/>
      <c r="S21" s="163"/>
      <c r="T21" s="163"/>
      <c r="U21" s="163"/>
      <c r="V21" s="163"/>
    </row>
    <row r="22" spans="1:22" s="61" customFormat="1" ht="11.4" hidden="1">
      <c r="A22" s="136"/>
      <c r="B22" s="136"/>
      <c r="C22" s="153"/>
      <c r="D22" s="136"/>
      <c r="E22" s="152"/>
      <c r="F22" s="137"/>
      <c r="G22" s="137"/>
      <c r="H22" s="137"/>
      <c r="I22" s="166"/>
      <c r="J22" s="138"/>
      <c r="K22" s="138"/>
      <c r="L22" s="138"/>
      <c r="M22" s="146"/>
      <c r="N22" s="147"/>
      <c r="O22" s="147"/>
      <c r="P22" s="147"/>
      <c r="Q22" s="147"/>
      <c r="R22" s="147"/>
      <c r="S22" s="147"/>
      <c r="T22" s="147"/>
      <c r="U22" s="147"/>
      <c r="V22" s="147"/>
    </row>
    <row r="23" spans="1:22" s="61" customFormat="1" ht="11.4" hidden="1">
      <c r="A23" s="136"/>
      <c r="B23" s="136"/>
      <c r="C23" s="153"/>
      <c r="D23" s="136"/>
      <c r="E23" s="152"/>
      <c r="F23" s="137"/>
      <c r="G23" s="137"/>
      <c r="H23" s="137"/>
      <c r="I23" s="166"/>
      <c r="J23" s="138"/>
      <c r="K23" s="138"/>
      <c r="L23" s="138"/>
      <c r="M23" s="146"/>
      <c r="N23" s="147"/>
      <c r="O23" s="147"/>
      <c r="P23" s="147"/>
      <c r="Q23" s="147"/>
      <c r="R23" s="147"/>
      <c r="S23" s="147"/>
      <c r="T23" s="147"/>
      <c r="U23" s="147"/>
      <c r="V23" s="147"/>
    </row>
    <row r="24" spans="1:22" s="61" customFormat="1" ht="11.4" hidden="1">
      <c r="A24" s="157"/>
      <c r="B24" s="157"/>
      <c r="C24" s="158"/>
      <c r="D24" s="157"/>
      <c r="E24" s="159"/>
      <c r="F24" s="160"/>
      <c r="G24" s="160"/>
      <c r="H24" s="160"/>
      <c r="I24" s="166"/>
      <c r="J24" s="161"/>
      <c r="K24" s="161"/>
      <c r="L24" s="161"/>
      <c r="M24" s="162"/>
      <c r="N24" s="163"/>
      <c r="O24" s="163"/>
      <c r="P24" s="163"/>
      <c r="Q24" s="163"/>
      <c r="R24" s="163"/>
      <c r="S24" s="163"/>
      <c r="T24" s="163"/>
      <c r="U24" s="147"/>
      <c r="V24" s="147"/>
    </row>
    <row r="25" spans="1:22" s="61" customFormat="1" ht="11.4" hidden="1">
      <c r="A25" s="157"/>
      <c r="B25" s="157"/>
      <c r="C25" s="158"/>
      <c r="D25" s="157"/>
      <c r="E25" s="159"/>
      <c r="F25" s="160"/>
      <c r="G25" s="160"/>
      <c r="H25" s="160"/>
      <c r="I25" s="166"/>
      <c r="J25" s="161"/>
      <c r="K25" s="161"/>
      <c r="L25" s="161"/>
      <c r="M25" s="163"/>
      <c r="N25" s="163"/>
      <c r="O25" s="163"/>
      <c r="P25" s="163"/>
      <c r="Q25" s="163"/>
      <c r="R25" s="163"/>
      <c r="S25" s="163"/>
      <c r="T25" s="163"/>
      <c r="U25" s="147"/>
      <c r="V25" s="147"/>
    </row>
    <row r="26" spans="1:22" s="61" customFormat="1" ht="11.4" hidden="1">
      <c r="A26" s="157"/>
      <c r="B26" s="157"/>
      <c r="C26" s="158"/>
      <c r="D26" s="157"/>
      <c r="E26" s="159"/>
      <c r="F26" s="160"/>
      <c r="G26" s="160"/>
      <c r="H26" s="160"/>
      <c r="I26" s="166"/>
      <c r="J26" s="161"/>
      <c r="K26" s="161"/>
      <c r="L26" s="161"/>
      <c r="M26" s="162"/>
      <c r="N26" s="163"/>
      <c r="O26" s="163"/>
      <c r="P26" s="163"/>
      <c r="Q26" s="163"/>
      <c r="R26" s="163"/>
      <c r="S26" s="163"/>
      <c r="T26" s="163"/>
      <c r="U26" s="147"/>
      <c r="V26" s="163"/>
    </row>
    <row r="27" spans="1:22" s="61" customFormat="1" ht="11.4" hidden="1">
      <c r="A27" s="157"/>
      <c r="B27" s="157"/>
      <c r="C27" s="158"/>
      <c r="D27" s="157"/>
      <c r="E27" s="159"/>
      <c r="F27" s="160"/>
      <c r="G27" s="160"/>
      <c r="H27" s="160"/>
      <c r="I27" s="166"/>
      <c r="J27" s="161"/>
      <c r="K27" s="161"/>
      <c r="L27" s="161"/>
      <c r="M27" s="163"/>
      <c r="N27" s="163"/>
      <c r="O27" s="163"/>
      <c r="P27" s="163"/>
      <c r="Q27" s="163"/>
      <c r="R27" s="163"/>
      <c r="S27" s="163"/>
      <c r="T27" s="163"/>
      <c r="U27" s="147"/>
      <c r="V27" s="163"/>
    </row>
    <row r="28" spans="1:22" s="61" customFormat="1" ht="11.4" hidden="1">
      <c r="A28" s="157"/>
      <c r="B28" s="157"/>
      <c r="C28" s="158"/>
      <c r="D28" s="157"/>
      <c r="E28" s="159"/>
      <c r="F28" s="160"/>
      <c r="G28" s="160"/>
      <c r="H28" s="160"/>
      <c r="I28" s="170"/>
      <c r="J28" s="161"/>
      <c r="K28" s="161"/>
      <c r="L28" s="161"/>
      <c r="M28" s="163"/>
      <c r="N28" s="163"/>
      <c r="O28" s="163"/>
      <c r="P28" s="163"/>
      <c r="Q28" s="163"/>
      <c r="R28" s="163"/>
      <c r="S28" s="163"/>
      <c r="T28" s="163"/>
      <c r="U28" s="147"/>
      <c r="V28" s="163"/>
    </row>
    <row r="29" spans="1:22" s="61" customFormat="1" ht="11.4" hidden="1">
      <c r="A29" s="157"/>
      <c r="B29" s="157"/>
      <c r="C29" s="158"/>
      <c r="D29" s="157"/>
      <c r="E29" s="159"/>
      <c r="F29" s="160"/>
      <c r="G29" s="160"/>
      <c r="H29" s="160"/>
      <c r="I29" s="170"/>
      <c r="J29" s="161"/>
      <c r="K29" s="161"/>
      <c r="L29" s="161"/>
      <c r="M29" s="163"/>
      <c r="N29" s="163"/>
      <c r="O29" s="163"/>
      <c r="P29" s="163"/>
      <c r="Q29" s="163"/>
      <c r="R29" s="163"/>
      <c r="S29" s="163"/>
      <c r="T29" s="163"/>
      <c r="U29" s="163"/>
      <c r="V29" s="163"/>
    </row>
    <row r="30" spans="1:22" s="61" customFormat="1" ht="22.95" customHeight="1">
      <c r="A30" s="38"/>
      <c r="B30" s="38"/>
      <c r="C30" s="38"/>
      <c r="D30" s="38"/>
      <c r="E30" s="36"/>
      <c r="F30" s="36"/>
      <c r="G30" s="36"/>
      <c r="H30" s="36"/>
      <c r="I30" s="36"/>
      <c r="J30" s="36"/>
      <c r="K30" s="38"/>
      <c r="L30" s="156" t="s">
        <v>73</v>
      </c>
      <c r="M30" s="67">
        <f>SUM(Table_Query_from_MS_Access_Database8[[#All],[HURF EX]])</f>
        <v>0</v>
      </c>
      <c r="N30" s="67">
        <f>SUM(Table_Query_from_MS_Access_Database8[[#All],[HSIP]])</f>
        <v>0</v>
      </c>
      <c r="O30" s="67">
        <f>SUM(Table_Query_from_MS_Access_Database8[[#All],[SPR]])</f>
        <v>0</v>
      </c>
      <c r="P30" s="67">
        <f>SUM(Table_Query_from_MS_Access_Database8[[#All],[STP &lt;5]])</f>
        <v>0</v>
      </c>
      <c r="Q30" s="67">
        <f>SUM(Table_Query_from_MS_Access_Database8[[#All],[STP 5-200]])</f>
        <v>0</v>
      </c>
      <c r="R30" s="67">
        <f>SUM(Table_Query_from_MS_Access_Database8[[#All],[STP 5-50]])</f>
        <v>0</v>
      </c>
      <c r="S30" s="67">
        <f>SUM(Table_Query_from_MS_Access_Database8[[#All],[STP 50-200]])</f>
        <v>0</v>
      </c>
      <c r="T30" s="67">
        <f>SUM(Table_Query_from_MS_Access_Database8[[#All],[STP OTHER]])</f>
        <v>0</v>
      </c>
      <c r="U30" s="67">
        <f>SUM(M30:T30)</f>
        <v>0</v>
      </c>
      <c r="V30" s="38"/>
    </row>
    <row r="31" spans="1:22" s="61" customFormat="1" ht="24">
      <c r="E31" s="36"/>
      <c r="F31" s="36"/>
      <c r="G31" s="36"/>
      <c r="H31" s="36"/>
      <c r="I31" s="36"/>
      <c r="J31" s="36"/>
      <c r="L31" s="156" t="s">
        <v>72</v>
      </c>
      <c r="M31" s="67">
        <f t="shared" ref="M31:U31" si="4">+M12-M30</f>
        <v>0</v>
      </c>
      <c r="N31" s="67">
        <f t="shared" si="4"/>
        <v>0</v>
      </c>
      <c r="O31" s="67">
        <f t="shared" si="4"/>
        <v>125000</v>
      </c>
      <c r="P31" s="67">
        <f t="shared" si="4"/>
        <v>585019</v>
      </c>
      <c r="Q31" s="67">
        <f t="shared" si="4"/>
        <v>0</v>
      </c>
      <c r="R31" s="67">
        <f t="shared" si="4"/>
        <v>960694.35</v>
      </c>
      <c r="S31" s="67">
        <f t="shared" si="4"/>
        <v>0</v>
      </c>
      <c r="T31" s="67">
        <f t="shared" si="4"/>
        <v>0</v>
      </c>
      <c r="U31" s="67">
        <f t="shared" si="4"/>
        <v>1670713.35</v>
      </c>
    </row>
    <row r="32" spans="1:22" s="61" customFormat="1" ht="42.6" customHeight="1">
      <c r="A32" s="40"/>
      <c r="B32" s="40"/>
      <c r="C32" s="40"/>
      <c r="D32" s="40"/>
      <c r="E32" s="37"/>
      <c r="F32" s="37"/>
      <c r="G32" s="37"/>
      <c r="H32" s="37"/>
      <c r="I32" s="37"/>
      <c r="J32" s="37"/>
      <c r="K32" s="37"/>
      <c r="L32" s="37"/>
      <c r="M32" s="40"/>
      <c r="N32" s="40"/>
      <c r="O32" s="40"/>
      <c r="P32" s="40"/>
      <c r="Q32" s="40"/>
      <c r="R32" s="40"/>
      <c r="S32" s="30"/>
      <c r="T32" s="38"/>
      <c r="U32" s="66"/>
    </row>
    <row r="33" spans="1:26" s="38" customFormat="1" ht="15.6">
      <c r="A33" s="195" t="s">
        <v>34</v>
      </c>
      <c r="B33" s="195"/>
      <c r="C33" s="195"/>
      <c r="D33" s="195"/>
      <c r="E33" s="195"/>
      <c r="F33" s="39"/>
      <c r="G33" s="40"/>
      <c r="H33" s="40"/>
      <c r="I33" s="40"/>
      <c r="J33" s="42"/>
      <c r="K33" s="41"/>
      <c r="L33" s="41"/>
      <c r="M33" s="41"/>
      <c r="N33" s="41"/>
      <c r="O33" s="30"/>
      <c r="P33" s="30"/>
      <c r="Q33" s="37"/>
      <c r="R33" s="37"/>
      <c r="S33" s="30"/>
      <c r="U33" s="61"/>
      <c r="V33" s="61"/>
    </row>
    <row r="34" spans="1:26" s="38" customFormat="1" ht="38.4" customHeight="1">
      <c r="A34" s="141" t="s">
        <v>1</v>
      </c>
      <c r="B34" s="141" t="s">
        <v>0</v>
      </c>
      <c r="C34" s="141" t="s">
        <v>3</v>
      </c>
      <c r="D34" s="141" t="s">
        <v>79</v>
      </c>
      <c r="E34" s="141" t="s">
        <v>2</v>
      </c>
      <c r="F34" s="141" t="s">
        <v>44</v>
      </c>
      <c r="G34" s="141" t="s">
        <v>45</v>
      </c>
      <c r="H34" s="141" t="s">
        <v>46</v>
      </c>
      <c r="I34" s="141" t="s">
        <v>47</v>
      </c>
      <c r="J34" s="141" t="s">
        <v>48</v>
      </c>
      <c r="K34" s="141" t="s">
        <v>49</v>
      </c>
      <c r="L34" s="141" t="s">
        <v>50</v>
      </c>
      <c r="M34" s="141" t="s">
        <v>181</v>
      </c>
      <c r="N34" s="141" t="s">
        <v>4</v>
      </c>
      <c r="O34" s="141" t="s">
        <v>5</v>
      </c>
      <c r="P34" s="141" t="s">
        <v>100</v>
      </c>
      <c r="Q34" s="141" t="s">
        <v>179</v>
      </c>
      <c r="R34" s="141" t="s">
        <v>264</v>
      </c>
      <c r="S34" s="141" t="s">
        <v>265</v>
      </c>
      <c r="T34" s="141" t="s">
        <v>51</v>
      </c>
      <c r="U34" s="141" t="s">
        <v>80</v>
      </c>
      <c r="V34" s="141" t="s">
        <v>52</v>
      </c>
    </row>
    <row r="35" spans="1:26" s="38" customFormat="1" ht="41.25" customHeight="1">
      <c r="A35" s="140" t="s">
        <v>333</v>
      </c>
      <c r="B35" s="140" t="s">
        <v>344</v>
      </c>
      <c r="C35" s="140" t="s">
        <v>353</v>
      </c>
      <c r="D35" s="140" t="s">
        <v>7</v>
      </c>
      <c r="E35" s="140" t="s">
        <v>354</v>
      </c>
      <c r="F35" s="140" t="s">
        <v>328</v>
      </c>
      <c r="G35" s="140" t="s">
        <v>118</v>
      </c>
      <c r="H35" s="140" t="s">
        <v>334</v>
      </c>
      <c r="I35" s="138">
        <v>46023</v>
      </c>
      <c r="J35" s="138"/>
      <c r="K35" s="138"/>
      <c r="L35" s="138"/>
      <c r="M35" s="140">
        <v>664780</v>
      </c>
      <c r="N35" s="140"/>
      <c r="O35" s="140"/>
      <c r="P35" s="140"/>
      <c r="Q35" s="140"/>
      <c r="R35" s="140">
        <v>73865</v>
      </c>
      <c r="S35" s="140"/>
      <c r="T35" s="140"/>
      <c r="U35" s="140">
        <f>SUM(Table_Query_from_MS_Access_Database_1[[#This Row],[HURF EX]:[STP OTHER]])</f>
        <v>738645</v>
      </c>
      <c r="V35" s="154">
        <f ca="1">IF(ISTEXT(INDIRECT(ADDRESS(ROW()-1,COLUMN()))),INDIRECT(ADDRESS(12,COLUMN()))-SUM(Table_Query_from_MS_Access_Database8[TOTAL OF AMOUNT]),INDIRECT(ADDRESS(ROW()-1,COLUMN())))-Table_Query_from_MS_Access_Database_1[[#This Row],[TOTAL OF AMOUNT]]</f>
        <v>830570.35000000009</v>
      </c>
      <c r="Y35" s="43"/>
    </row>
    <row r="36" spans="1:26" s="38" customFormat="1" ht="13.2" customHeight="1">
      <c r="A36" s="43" t="s">
        <v>378</v>
      </c>
      <c r="B36" s="43" t="s">
        <v>356</v>
      </c>
      <c r="C36" s="43" t="s">
        <v>114</v>
      </c>
      <c r="D36" s="43" t="s">
        <v>23</v>
      </c>
      <c r="E36" s="43" t="s">
        <v>379</v>
      </c>
      <c r="F36" s="43" t="s">
        <v>358</v>
      </c>
      <c r="G36" s="43" t="s">
        <v>380</v>
      </c>
      <c r="H36" s="43" t="s">
        <v>360</v>
      </c>
      <c r="I36" s="161">
        <v>46023</v>
      </c>
      <c r="J36" s="161"/>
      <c r="K36" s="161"/>
      <c r="L36" s="161"/>
      <c r="M36" s="43"/>
      <c r="N36" s="43"/>
      <c r="O36" s="43">
        <v>23503.21</v>
      </c>
      <c r="P36" s="43"/>
      <c r="Q36" s="43"/>
      <c r="R36" s="43"/>
      <c r="S36" s="43"/>
      <c r="T36" s="43"/>
      <c r="U36" s="43">
        <f>SUM(Table_Query_from_MS_Access_Database_1[[#This Row],[HURF EX]:[STP OTHER]])</f>
        <v>23503.21</v>
      </c>
      <c r="V36" s="174">
        <f ca="1">IF(ISTEXT(INDIRECT(ADDRESS(ROW()-1,COLUMN()))),INDIRECT(ADDRESS(12,COLUMN()))-SUM(Table_Query_from_MS_Access_Database8[TOTAL OF AMOUNT]),INDIRECT(ADDRESS(ROW()-1,COLUMN())))-Table_Query_from_MS_Access_Database_1[[#This Row],[TOTAL OF AMOUNT]]</f>
        <v>807067.14000000013</v>
      </c>
    </row>
    <row r="37" spans="1:26" s="38" customFormat="1" ht="13.2" customHeight="1">
      <c r="A37" s="43" t="s">
        <v>335</v>
      </c>
      <c r="B37" s="43" t="s">
        <v>336</v>
      </c>
      <c r="C37" s="43" t="s">
        <v>337</v>
      </c>
      <c r="D37" s="43" t="s">
        <v>7</v>
      </c>
      <c r="E37" s="43" t="s">
        <v>361</v>
      </c>
      <c r="F37" s="43" t="s">
        <v>338</v>
      </c>
      <c r="G37" s="43" t="s">
        <v>118</v>
      </c>
      <c r="H37" s="43" t="s">
        <v>334</v>
      </c>
      <c r="I37" s="161">
        <v>46023</v>
      </c>
      <c r="J37" s="161"/>
      <c r="K37" s="161"/>
      <c r="L37" s="161"/>
      <c r="M37" s="43">
        <v>539165</v>
      </c>
      <c r="N37" s="43"/>
      <c r="O37" s="43"/>
      <c r="P37" s="43">
        <v>59907</v>
      </c>
      <c r="Q37" s="43"/>
      <c r="R37" s="43"/>
      <c r="S37" s="43"/>
      <c r="T37" s="43"/>
      <c r="U37" s="43">
        <f>SUM(Table_Query_from_MS_Access_Database_1[[#This Row],[HURF EX]:[STP OTHER]])</f>
        <v>599072</v>
      </c>
      <c r="V37" s="174">
        <f ca="1">IF(ISTEXT(INDIRECT(ADDRESS(ROW()-1,COLUMN()))),INDIRECT(ADDRESS(12,COLUMN()))-SUM(Table_Query_from_MS_Access_Database8[TOTAL OF AMOUNT]),INDIRECT(ADDRESS(ROW()-1,COLUMN())))-Table_Query_from_MS_Access_Database_1[[#This Row],[TOTAL OF AMOUNT]]</f>
        <v>207995.14000000013</v>
      </c>
    </row>
    <row r="38" spans="1:26" s="38" customFormat="1" ht="29.25" customHeight="1">
      <c r="A38" s="43" t="s">
        <v>339</v>
      </c>
      <c r="B38" s="43" t="s">
        <v>340</v>
      </c>
      <c r="C38" s="43" t="s">
        <v>341</v>
      </c>
      <c r="D38" s="43" t="s">
        <v>7</v>
      </c>
      <c r="E38" s="43" t="s">
        <v>342</v>
      </c>
      <c r="F38" s="43" t="s">
        <v>343</v>
      </c>
      <c r="G38" s="43" t="s">
        <v>118</v>
      </c>
      <c r="H38" s="43" t="s">
        <v>200</v>
      </c>
      <c r="I38" s="161">
        <v>46174</v>
      </c>
      <c r="J38" s="161"/>
      <c r="K38" s="161"/>
      <c r="L38" s="161"/>
      <c r="M38" s="43"/>
      <c r="N38" s="43"/>
      <c r="O38" s="43"/>
      <c r="P38" s="43">
        <v>15000</v>
      </c>
      <c r="Q38" s="43"/>
      <c r="R38" s="43"/>
      <c r="S38" s="43"/>
      <c r="T38" s="43"/>
      <c r="U38" s="43">
        <f>SUM(Table_Query_from_MS_Access_Database_1[[#This Row],[HURF EX]:[STP OTHER]])</f>
        <v>15000</v>
      </c>
      <c r="V38" s="174">
        <f ca="1">IF(ISTEXT(INDIRECT(ADDRESS(ROW()-1,COLUMN()))),INDIRECT(ADDRESS(12,COLUMN()))-SUM(Table_Query_from_MS_Access_Database8[TOTAL OF AMOUNT]),INDIRECT(ADDRESS(ROW()-1,COLUMN())))-Table_Query_from_MS_Access_Database_1[[#This Row],[TOTAL OF AMOUNT]]</f>
        <v>192995.14000000013</v>
      </c>
    </row>
    <row r="39" spans="1:26" ht="37.200000000000003" hidden="1" customHeight="1">
      <c r="A39" s="43"/>
      <c r="B39" s="43"/>
      <c r="C39" s="43"/>
      <c r="D39" s="43"/>
      <c r="E39" s="43"/>
      <c r="F39" s="43"/>
      <c r="G39" s="43"/>
      <c r="H39" s="43"/>
      <c r="I39" s="161"/>
      <c r="J39" s="167"/>
      <c r="K39" s="167"/>
      <c r="L39" s="167"/>
      <c r="M39" s="43"/>
      <c r="N39" s="43"/>
      <c r="O39" s="43"/>
      <c r="P39" s="43"/>
      <c r="Q39" s="43"/>
      <c r="R39" s="43"/>
      <c r="S39" s="43"/>
      <c r="T39" s="43"/>
      <c r="U39" s="43"/>
      <c r="V39" s="174"/>
    </row>
    <row r="40" spans="1:26" ht="16.5" hidden="1" customHeight="1">
      <c r="A40" s="43"/>
      <c r="B40" s="43"/>
      <c r="C40" s="43"/>
      <c r="D40" s="43"/>
      <c r="E40" s="43"/>
      <c r="F40" s="43"/>
      <c r="G40" s="43"/>
      <c r="H40" s="43"/>
      <c r="I40" s="161"/>
      <c r="J40" s="167"/>
      <c r="K40" s="167"/>
      <c r="L40" s="167"/>
      <c r="M40" s="43"/>
      <c r="N40" s="43"/>
      <c r="O40" s="43"/>
      <c r="P40" s="43"/>
      <c r="Q40" s="43"/>
      <c r="R40" s="43"/>
      <c r="S40" s="43"/>
      <c r="T40" s="43"/>
      <c r="U40" s="43"/>
      <c r="V40" s="174"/>
    </row>
    <row r="41" spans="1:26" ht="15.6" hidden="1" customHeight="1">
      <c r="A41" s="43"/>
      <c r="B41" s="43"/>
      <c r="C41" s="43"/>
      <c r="D41" s="43"/>
      <c r="E41" s="43"/>
      <c r="F41" s="43"/>
      <c r="G41" s="43"/>
      <c r="H41" s="43"/>
      <c r="I41" s="161"/>
      <c r="J41" s="167"/>
      <c r="K41" s="167"/>
      <c r="L41" s="167"/>
      <c r="M41" s="43"/>
      <c r="N41" s="43"/>
      <c r="O41" s="43"/>
      <c r="P41" s="43"/>
      <c r="Q41" s="43"/>
      <c r="R41" s="43"/>
      <c r="S41" s="43"/>
      <c r="T41" s="43"/>
      <c r="U41" s="43"/>
      <c r="V41" s="174"/>
    </row>
    <row r="42" spans="1:26" ht="15.6" hidden="1" customHeight="1">
      <c r="A42" s="43"/>
      <c r="B42" s="43"/>
      <c r="C42" s="43"/>
      <c r="D42" s="43"/>
      <c r="E42" s="43"/>
      <c r="F42" s="43"/>
      <c r="G42" s="43"/>
      <c r="H42" s="43"/>
      <c r="I42" s="161"/>
      <c r="J42" s="167"/>
      <c r="K42" s="167"/>
      <c r="L42" s="167"/>
      <c r="M42" s="43"/>
      <c r="N42" s="43"/>
      <c r="O42" s="43"/>
      <c r="P42" s="43"/>
      <c r="Q42" s="43"/>
      <c r="R42" s="43"/>
      <c r="S42" s="43"/>
      <c r="T42" s="43"/>
      <c r="U42" s="43"/>
      <c r="V42" s="174"/>
    </row>
    <row r="43" spans="1:26" s="38" customFormat="1" ht="25.5" customHeight="1">
      <c r="J43" s="43"/>
      <c r="K43" s="43"/>
      <c r="L43" s="144" t="s">
        <v>81</v>
      </c>
      <c r="M43" s="67">
        <f>SUM(Table_Query_from_MS_Access_Database_1[[#All],[HURF EX]])</f>
        <v>1203945</v>
      </c>
      <c r="N43" s="67">
        <f>SUM(Table_Query_from_MS_Access_Database_1[[#All],[HSIP]])</f>
        <v>0</v>
      </c>
      <c r="O43" s="67">
        <f>SUM(Table_Query_from_MS_Access_Database_1[[#All],[SPR]])</f>
        <v>23503.21</v>
      </c>
      <c r="P43" s="67">
        <f>SUM(Table_Query_from_MS_Access_Database_1[[#All],[STP &lt;5]])</f>
        <v>74907</v>
      </c>
      <c r="Q43" s="67">
        <f>SUM(Table_Query_from_MS_Access_Database_1[[#All],[STP 5-200]])</f>
        <v>0</v>
      </c>
      <c r="R43" s="67">
        <f>SUM(Table_Query_from_MS_Access_Database_1[[#All],[STP 5-50]])</f>
        <v>73865</v>
      </c>
      <c r="S43" s="67">
        <f>SUM(Table_Query_from_MS_Access_Database_1[STP 50-200])</f>
        <v>0</v>
      </c>
      <c r="T43" s="67">
        <f>SUM(Table_Query_from_MS_Access_Database_1[[#All],[STP OTHER]])</f>
        <v>0</v>
      </c>
      <c r="U43" s="67">
        <f>SUBTOTAL(109,Table_Query_from_MS_Access_Database_1[TOTAL OF AMOUNT])</f>
        <v>1376220.21</v>
      </c>
      <c r="V43" s="24"/>
    </row>
    <row r="44" spans="1:26" s="38" customFormat="1" ht="24">
      <c r="J44" s="43"/>
      <c r="K44" s="43"/>
      <c r="L44" s="144" t="s">
        <v>72</v>
      </c>
      <c r="M44" s="145">
        <f>M31-M43</f>
        <v>-1203945</v>
      </c>
      <c r="N44" s="145">
        <f>N31-N43</f>
        <v>0</v>
      </c>
      <c r="O44" s="67">
        <f t="shared" ref="O44:U44" si="5">+O31-O43</f>
        <v>101496.79000000001</v>
      </c>
      <c r="P44" s="67">
        <f t="shared" si="5"/>
        <v>510112</v>
      </c>
      <c r="Q44" s="67">
        <f t="shared" si="5"/>
        <v>0</v>
      </c>
      <c r="R44" s="67">
        <f t="shared" si="5"/>
        <v>886829.35</v>
      </c>
      <c r="S44" s="67">
        <f t="shared" si="5"/>
        <v>0</v>
      </c>
      <c r="T44" s="67">
        <f t="shared" si="5"/>
        <v>0</v>
      </c>
      <c r="U44" s="67">
        <f t="shared" si="5"/>
        <v>294493.14000000013</v>
      </c>
      <c r="V44" s="24"/>
    </row>
    <row r="45" spans="1:26" s="38" customFormat="1">
      <c r="A45" s="24"/>
      <c r="B45" s="24"/>
      <c r="C45" s="24"/>
      <c r="D45" s="24"/>
      <c r="E45" s="24"/>
      <c r="F45" s="24"/>
      <c r="G45" s="24"/>
      <c r="H45" s="24"/>
      <c r="I45" s="24"/>
      <c r="J45" s="27"/>
      <c r="K45" s="27"/>
      <c r="L45" s="27"/>
      <c r="M45" s="43">
        <f t="shared" ref="M45:T45" si="6">M30+M43</f>
        <v>1203945</v>
      </c>
      <c r="N45" s="43">
        <f t="shared" si="6"/>
        <v>0</v>
      </c>
      <c r="O45" s="43">
        <f t="shared" si="6"/>
        <v>23503.21</v>
      </c>
      <c r="P45" s="43">
        <f t="shared" si="6"/>
        <v>74907</v>
      </c>
      <c r="Q45" s="43">
        <f t="shared" si="6"/>
        <v>0</v>
      </c>
      <c r="R45" s="43">
        <f t="shared" si="6"/>
        <v>73865</v>
      </c>
      <c r="S45" s="43">
        <f t="shared" si="6"/>
        <v>0</v>
      </c>
      <c r="T45" s="43">
        <f t="shared" si="6"/>
        <v>0</v>
      </c>
      <c r="U45" s="43">
        <f>SUM(M45:T45)</f>
        <v>1376220.21</v>
      </c>
    </row>
    <row r="46" spans="1:26" s="38" customFormat="1">
      <c r="A46" s="24"/>
      <c r="B46" s="24"/>
      <c r="C46" s="24"/>
      <c r="D46" s="24"/>
      <c r="E46" s="24"/>
      <c r="F46" s="24"/>
      <c r="G46" s="24"/>
      <c r="H46" s="24"/>
      <c r="I46" s="24"/>
      <c r="J46" s="27"/>
      <c r="K46" s="27"/>
      <c r="L46" s="27"/>
      <c r="M46" s="43"/>
      <c r="N46" s="43"/>
      <c r="O46" s="43"/>
      <c r="P46" s="43"/>
      <c r="Q46" s="43"/>
      <c r="R46" s="43"/>
      <c r="S46" s="43"/>
      <c r="T46" s="43"/>
      <c r="U46" s="43"/>
    </row>
    <row r="47" spans="1:26" ht="15.6">
      <c r="A47" s="44" t="s">
        <v>74</v>
      </c>
      <c r="J47" s="27"/>
      <c r="K47" s="27"/>
      <c r="L47" s="27"/>
      <c r="M47" s="27"/>
      <c r="N47" s="194" t="s">
        <v>56</v>
      </c>
      <c r="O47" s="194"/>
      <c r="P47" s="194"/>
      <c r="Q47" s="135"/>
      <c r="R47" s="39"/>
      <c r="S47" s="24"/>
      <c r="T47" s="43"/>
      <c r="V47" s="38"/>
      <c r="X47" s="27"/>
      <c r="Y47" s="188"/>
      <c r="Z47" s="24">
        <f>X47*0.25</f>
        <v>0</v>
      </c>
    </row>
    <row r="48" spans="1:26">
      <c r="A48" s="38"/>
      <c r="B48" s="38"/>
      <c r="C48" s="38"/>
      <c r="D48" s="38"/>
      <c r="E48" s="38"/>
      <c r="F48" s="38"/>
      <c r="G48" s="38"/>
      <c r="H48" s="38"/>
      <c r="I48" s="38"/>
      <c r="J48" s="43"/>
      <c r="K48" s="43"/>
      <c r="L48" s="68"/>
      <c r="M48" s="86" t="s">
        <v>181</v>
      </c>
      <c r="N48" s="86" t="s">
        <v>4</v>
      </c>
      <c r="O48" s="86" t="s">
        <v>5</v>
      </c>
      <c r="P48" s="86" t="s">
        <v>100</v>
      </c>
      <c r="Q48" s="86" t="s">
        <v>179</v>
      </c>
      <c r="R48" s="86" t="s">
        <v>264</v>
      </c>
      <c r="S48" s="86" t="s">
        <v>265</v>
      </c>
      <c r="T48" s="86" t="s">
        <v>51</v>
      </c>
      <c r="U48" s="86" t="s">
        <v>53</v>
      </c>
      <c r="V48" s="69" t="s">
        <v>57</v>
      </c>
      <c r="Y48" s="188"/>
    </row>
    <row r="49" spans="1:26">
      <c r="A49" s="164"/>
      <c r="B49" s="165"/>
      <c r="C49" s="165"/>
      <c r="D49" s="165"/>
      <c r="E49" s="165"/>
      <c r="F49" s="165"/>
      <c r="G49" s="165"/>
      <c r="H49" s="165"/>
      <c r="I49" s="165"/>
      <c r="J49" s="165"/>
      <c r="K49" s="165"/>
      <c r="L49" s="63" t="s">
        <v>329</v>
      </c>
      <c r="M49" s="65">
        <f>+M44</f>
        <v>-1203945</v>
      </c>
      <c r="N49" s="65">
        <f>+N44</f>
        <v>0</v>
      </c>
      <c r="O49" s="65">
        <f>+O44</f>
        <v>101496.79000000001</v>
      </c>
      <c r="P49" s="65">
        <f t="shared" ref="P49:T49" si="7">+P44</f>
        <v>510112</v>
      </c>
      <c r="Q49" s="65">
        <f>+Q44</f>
        <v>0</v>
      </c>
      <c r="R49" s="65">
        <f t="shared" si="7"/>
        <v>886829.35</v>
      </c>
      <c r="S49" s="65">
        <f t="shared" si="7"/>
        <v>0</v>
      </c>
      <c r="T49" s="65">
        <f t="shared" si="7"/>
        <v>0</v>
      </c>
      <c r="U49" s="65">
        <f>SUM(M49:T49)</f>
        <v>294493.14</v>
      </c>
      <c r="V49" s="65">
        <f ca="1">V38</f>
        <v>192995.14000000013</v>
      </c>
      <c r="X49" s="27"/>
      <c r="Y49" s="188"/>
      <c r="Z49" s="188">
        <f>Y49*0.25</f>
        <v>0</v>
      </c>
    </row>
    <row r="50" spans="1:26">
      <c r="A50" s="38"/>
      <c r="B50" s="38"/>
      <c r="C50" s="38"/>
      <c r="D50" s="38"/>
      <c r="E50" s="38"/>
      <c r="F50" s="38"/>
      <c r="G50" s="38"/>
      <c r="H50" s="38"/>
      <c r="I50" s="38"/>
      <c r="J50" s="43"/>
      <c r="K50" s="43"/>
      <c r="L50" s="63" t="s">
        <v>330</v>
      </c>
      <c r="M50" s="85">
        <f>SUMIFS(Table_Query_from_MS_Access_Database[[#All],[Notes]],Table_Query_from_MS_Access_Database[[#All],[Transaction Year]],"2022",Table_Query_from_MS_Access_Database[[#All],[Transaction Type]],"Lapsing")</f>
        <v>0</v>
      </c>
      <c r="N50" s="85">
        <f>SUMIFS(Table_Query_from_MS_Access_Database[[#All],[Notes]],Table_Query_from_MS_Access_Database[[#All],[Transaction Year]],"2022",Table_Query_from_MS_Access_Database[[#All],[Transaction Type]],"Lapsing")</f>
        <v>0</v>
      </c>
      <c r="O50" s="85">
        <f>SUMIFS(Table_Query_from_MS_Access_Database[[#All],[Notes]],Table_Query_from_MS_Access_Database[[#All],[Transaction Year]],"2022",Table_Query_from_MS_Access_Database[[#All],[Transaction Type]],"Lapsing")</f>
        <v>0</v>
      </c>
      <c r="P50" s="85">
        <f>SUMIFS(Table_Query_from_MS_Access_Database[[#All],[Notes]],Table_Query_from_MS_Access_Database[[#All],[Transaction Year]],"2022",Table_Query_from_MS_Access_Database[[#All],[Transaction Type]],"Lapsing")</f>
        <v>0</v>
      </c>
      <c r="Q50" s="85">
        <f>SUMIFS(Table_Query_from_MS_Access_Database[[#All],[Notes]],Table_Query_from_MS_Access_Database[[#All],[Transaction Year]],"2022",Table_Query_from_MS_Access_Database[[#All],[Transaction Type]],"Lapsing")</f>
        <v>0</v>
      </c>
      <c r="R50" s="85">
        <f>SUMIFS(Table_Query_from_MS_Access_Database[[#All],[Notes]],Table_Query_from_MS_Access_Database[[#All],[Transaction Year]],"2022",Table_Query_from_MS_Access_Database[[#All],[Transaction Type]],"Lapsing")</f>
        <v>0</v>
      </c>
      <c r="S50" s="85">
        <f>SUMIFS(Table_Query_from_MS_Access_Database[[#All],[Notes]],Table_Query_from_MS_Access_Database[[#All],[Transaction Year]],"2022",Table_Query_from_MS_Access_Database[[#All],[Transaction Type]],"Lapsing")</f>
        <v>0</v>
      </c>
      <c r="T50" s="85">
        <f>SUMIFS(Table_Query_from_MS_Access_Database[[#All],[Notes]],Table_Query_from_MS_Access_Database[[#All],[Transaction Year]],"2022",Table_Query_from_MS_Access_Database[[#All],[Transaction Type]],"Lapsing")</f>
        <v>0</v>
      </c>
      <c r="U50" s="85">
        <f>SUM(M50:T50)</f>
        <v>0</v>
      </c>
      <c r="V50" s="85">
        <f>SUMIFS(Table_Query_from_MS_Access_Database_16[[#All],[To]],Table_Query_from_MS_Access_Database_16[[#All],[Transaction Year]],"2019",Table_Query_from_MS_Access_Database_16[[#All],[Transaction Type]],"Lapsing")</f>
        <v>0</v>
      </c>
      <c r="X50" s="27"/>
    </row>
    <row r="51" spans="1:26">
      <c r="A51" s="38"/>
      <c r="B51" s="38"/>
      <c r="C51" s="38"/>
      <c r="D51" s="38"/>
      <c r="E51" s="38"/>
      <c r="F51" s="38"/>
      <c r="G51" s="38"/>
      <c r="H51" s="38"/>
      <c r="I51" s="38"/>
      <c r="J51" s="43"/>
      <c r="K51" s="43"/>
      <c r="L51" s="63" t="s">
        <v>331</v>
      </c>
      <c r="M51" s="65">
        <f>SUM(M49:M50)</f>
        <v>-1203945</v>
      </c>
      <c r="N51" s="65">
        <f>SUM(N49:N50)</f>
        <v>0</v>
      </c>
      <c r="O51" s="65">
        <f t="shared" ref="O51:T51" si="8">SUM(O49:O50)</f>
        <v>101496.79000000001</v>
      </c>
      <c r="P51" s="65">
        <f t="shared" si="8"/>
        <v>510112</v>
      </c>
      <c r="Q51" s="65">
        <f t="shared" si="8"/>
        <v>0</v>
      </c>
      <c r="R51" s="65">
        <f t="shared" si="8"/>
        <v>886829.35</v>
      </c>
      <c r="S51" s="65">
        <f t="shared" si="8"/>
        <v>0</v>
      </c>
      <c r="T51" s="65">
        <f t="shared" si="8"/>
        <v>0</v>
      </c>
      <c r="U51" s="65">
        <f>SUM(M51:T51)</f>
        <v>294493.14</v>
      </c>
      <c r="V51" s="65">
        <f ca="1">SUM(V49:V50)</f>
        <v>192995.14000000013</v>
      </c>
    </row>
    <row r="52" spans="1:26">
      <c r="A52" s="38"/>
      <c r="B52" s="38"/>
      <c r="C52" s="38"/>
      <c r="D52" s="38"/>
      <c r="E52" s="38"/>
      <c r="F52" s="38"/>
      <c r="G52" s="38"/>
      <c r="H52" s="38"/>
      <c r="I52" s="38"/>
      <c r="J52" s="43"/>
      <c r="K52" s="43"/>
      <c r="L52" s="64" t="s">
        <v>332</v>
      </c>
      <c r="M52" s="85">
        <f>+M49-M44</f>
        <v>0</v>
      </c>
      <c r="N52" s="85">
        <f>+N49-N44</f>
        <v>0</v>
      </c>
      <c r="O52" s="85">
        <f t="shared" ref="O52:T52" si="9">+O49-O44</f>
        <v>0</v>
      </c>
      <c r="P52" s="85">
        <f t="shared" si="9"/>
        <v>0</v>
      </c>
      <c r="Q52" s="85">
        <f t="shared" si="9"/>
        <v>0</v>
      </c>
      <c r="R52" s="85">
        <f t="shared" si="9"/>
        <v>0</v>
      </c>
      <c r="S52" s="85">
        <f t="shared" si="9"/>
        <v>0</v>
      </c>
      <c r="T52" s="85">
        <f t="shared" si="9"/>
        <v>0</v>
      </c>
      <c r="U52" s="85">
        <v>0</v>
      </c>
      <c r="V52" s="85">
        <v>0</v>
      </c>
      <c r="Y52" s="188"/>
    </row>
    <row r="57" spans="1:26" ht="15.6">
      <c r="A57" s="185" t="s">
        <v>316</v>
      </c>
      <c r="U57" s="27"/>
    </row>
    <row r="61" spans="1:26" ht="14.4">
      <c r="A61" t="s">
        <v>351</v>
      </c>
    </row>
    <row r="62" spans="1:26" ht="14.4">
      <c r="B62" s="177" t="s">
        <v>312</v>
      </c>
    </row>
    <row r="63" spans="1:26" ht="14.4">
      <c r="B63" s="177" t="s">
        <v>313</v>
      </c>
    </row>
    <row r="65" spans="1:2" ht="14.4">
      <c r="A65" t="s">
        <v>367</v>
      </c>
      <c r="B65"/>
    </row>
    <row r="66" spans="1:2" ht="14.4">
      <c r="A66"/>
      <c r="B66" t="s">
        <v>368</v>
      </c>
    </row>
    <row r="67" spans="1:2" ht="14.4">
      <c r="A67"/>
      <c r="B67"/>
    </row>
    <row r="68" spans="1:2" ht="14.4">
      <c r="A68"/>
      <c r="B68"/>
    </row>
    <row r="69" spans="1:2" ht="14.4">
      <c r="A69"/>
      <c r="B69"/>
    </row>
  </sheetData>
  <sheetProtection autoFilter="0"/>
  <mergeCells count="8">
    <mergeCell ref="M1:U1"/>
    <mergeCell ref="A1:D1"/>
    <mergeCell ref="N47:P47"/>
    <mergeCell ref="A33:E33"/>
    <mergeCell ref="J14:L14"/>
    <mergeCell ref="A5:D5"/>
    <mergeCell ref="M2:U2"/>
    <mergeCell ref="A3:C3"/>
  </mergeCells>
  <pageMargins left="0.5" right="0.25" top="0.75" bottom="0.5" header="0.3" footer="0.3"/>
  <pageSetup paperSize="17" scale="71" fitToHeight="0" orientation="landscape" horizontalDpi="1200" verticalDpi="1200" r:id="rId1"/>
  <headerFooter>
    <oddFooter>&amp;L&amp;8&amp;Z&amp;F&amp;R&amp;P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382"/>
  <sheetViews>
    <sheetView topLeftCell="A120" zoomScaleNormal="100" workbookViewId="0">
      <selection activeCell="A130" sqref="A130"/>
    </sheetView>
  </sheetViews>
  <sheetFormatPr defaultColWidth="19.6640625" defaultRowHeight="14.4"/>
  <cols>
    <col min="1" max="1" width="18.5546875" style="16" bestFit="1" customWidth="1"/>
    <col min="2" max="2" width="19" style="16" bestFit="1" customWidth="1"/>
    <col min="3" max="3" width="20.5546875" style="16" bestFit="1" customWidth="1"/>
    <col min="4" max="5" width="9.77734375" style="16" bestFit="1" customWidth="1"/>
    <col min="6" max="6" width="18.44140625" style="16" bestFit="1" customWidth="1"/>
    <col min="7" max="7" width="49.44140625" style="16" bestFit="1" customWidth="1"/>
    <col min="8" max="8" width="60.88671875" style="17" bestFit="1" customWidth="1"/>
    <col min="9" max="9" width="13.33203125" style="16" bestFit="1" customWidth="1"/>
    <col min="10" max="10" width="17.6640625" style="16" bestFit="1" customWidth="1"/>
    <col min="11" max="11" width="11.77734375" style="16" bestFit="1" customWidth="1"/>
    <col min="12" max="12" width="9.109375" style="16" bestFit="1" customWidth="1"/>
    <col min="13" max="13" width="11.77734375" style="16" bestFit="1" customWidth="1"/>
    <col min="14" max="14" width="12.6640625" style="16" bestFit="1" customWidth="1"/>
    <col min="15" max="15" width="13.33203125" style="16" bestFit="1" customWidth="1"/>
    <col min="16" max="16" width="11.77734375" style="16" bestFit="1" customWidth="1"/>
    <col min="17" max="17" width="13.77734375" style="16" bestFit="1" customWidth="1"/>
    <col min="18" max="18" width="13.33203125" style="16" bestFit="1" customWidth="1"/>
    <col min="19" max="19" width="10.33203125" style="16" bestFit="1" customWidth="1"/>
    <col min="20" max="20" width="11" style="16" bestFit="1" customWidth="1"/>
    <col min="21" max="21" width="11.5546875" style="16" bestFit="1" customWidth="1"/>
    <col min="22" max="25" width="10.33203125" style="16" customWidth="1"/>
    <col min="26" max="26" width="13.33203125" style="16" customWidth="1"/>
    <col min="27" max="27" width="10.33203125" style="16" customWidth="1"/>
    <col min="28" max="28" width="11" style="16" customWidth="1"/>
    <col min="29" max="29" width="11.5546875" style="16" customWidth="1"/>
    <col min="30" max="30" width="11.6640625" style="16" customWidth="1"/>
    <col min="31" max="31" width="10.109375" style="16" customWidth="1"/>
    <col min="32" max="32" width="10.6640625" style="16" customWidth="1"/>
    <col min="33" max="33" width="13.33203125" style="16" customWidth="1"/>
    <col min="34" max="34" width="16.5546875" style="16" customWidth="1"/>
    <col min="35" max="35" width="11.6640625" style="16" customWidth="1"/>
    <col min="36" max="36" width="15.6640625" style="16" customWidth="1"/>
    <col min="37" max="37" width="13.44140625" style="16" customWidth="1"/>
    <col min="38" max="38" width="15.6640625" style="16" customWidth="1"/>
    <col min="39" max="40" width="9.5546875" style="16" customWidth="1"/>
    <col min="41" max="41" width="11.88671875" style="16" customWidth="1"/>
    <col min="42" max="42" width="64.33203125" style="16" customWidth="1"/>
    <col min="43" max="43" width="14" style="16" customWidth="1"/>
    <col min="44" max="44" width="16.88671875" style="16" customWidth="1"/>
    <col min="45" max="45" width="12.109375" style="16" customWidth="1"/>
    <col min="46" max="46" width="16" style="16" customWidth="1"/>
  </cols>
  <sheetData>
    <row r="1" spans="1:46" ht="18" customHeight="1">
      <c r="A1" s="204" t="str">
        <f>+'Federal Funds Transactions'!A1:F1</f>
        <v>Northern Arizona Council of Governments</v>
      </c>
      <c r="B1" s="204"/>
      <c r="C1" s="204"/>
      <c r="D1" s="133"/>
      <c r="E1" s="133"/>
      <c r="F1" s="133"/>
    </row>
    <row r="2" spans="1:46">
      <c r="A2" s="18"/>
      <c r="B2" s="18"/>
      <c r="C2" s="18"/>
      <c r="D2" s="18"/>
      <c r="E2" s="18"/>
      <c r="F2" s="18"/>
    </row>
    <row r="3" spans="1:46" ht="14.4" customHeight="1">
      <c r="A3" s="132" t="s">
        <v>78</v>
      </c>
      <c r="B3" s="132"/>
      <c r="C3" s="132"/>
      <c r="D3" s="132"/>
      <c r="E3" s="132"/>
      <c r="F3" s="132"/>
    </row>
    <row r="4" spans="1:46">
      <c r="A4" s="19"/>
      <c r="B4" s="19"/>
      <c r="C4" s="19"/>
      <c r="D4" s="19"/>
      <c r="E4" s="19"/>
      <c r="F4" s="19"/>
    </row>
    <row r="5" spans="1:46">
      <c r="A5" s="16" t="s">
        <v>77</v>
      </c>
      <c r="B5" s="51">
        <f>+'Federal Funds Transactions'!C6</f>
        <v>46024</v>
      </c>
      <c r="C5" s="18"/>
      <c r="D5" s="18"/>
      <c r="E5" s="18"/>
      <c r="F5" s="18"/>
    </row>
    <row r="6" spans="1:46">
      <c r="A6" s="18"/>
      <c r="B6" s="18"/>
      <c r="C6" s="18"/>
      <c r="D6" s="18"/>
      <c r="E6" s="18"/>
      <c r="F6" s="18"/>
    </row>
    <row r="7" spans="1:46" ht="15" customHeight="1">
      <c r="A7" s="205" t="str">
        <f>+'Federal Funds Transactions'!A9:R9</f>
        <v>IMPORTANT! Please review the information in the Notes tab for further explanation of the data in this document.</v>
      </c>
      <c r="B7" s="205"/>
      <c r="C7" s="205"/>
      <c r="D7" s="205"/>
      <c r="E7" s="205"/>
      <c r="F7" s="205"/>
      <c r="G7" s="205"/>
      <c r="H7" s="205"/>
    </row>
    <row r="9" spans="1:46" ht="15.75" customHeight="1">
      <c r="A9" s="206" t="s">
        <v>76</v>
      </c>
      <c r="B9" s="206"/>
      <c r="C9" s="206"/>
      <c r="D9" s="206"/>
      <c r="E9" s="206"/>
      <c r="F9" s="206"/>
      <c r="G9" s="206"/>
      <c r="H9" s="206"/>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row>
    <row r="10" spans="1:46"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2"/>
      <c r="AT10" s="22"/>
    </row>
    <row r="11" spans="1:46">
      <c r="A11" s="55" t="s">
        <v>41</v>
      </c>
      <c r="B11" s="56" t="s">
        <v>42</v>
      </c>
      <c r="C11" s="56" t="s">
        <v>13</v>
      </c>
      <c r="D11" s="56" t="s">
        <v>83</v>
      </c>
      <c r="E11" s="56" t="s">
        <v>84</v>
      </c>
      <c r="F11" s="56" t="s">
        <v>43</v>
      </c>
      <c r="G11" s="56" t="s">
        <v>85</v>
      </c>
      <c r="H11" s="56" t="s">
        <v>86</v>
      </c>
      <c r="I11" s="56" t="s">
        <v>10</v>
      </c>
      <c r="J11" s="56" t="s">
        <v>180</v>
      </c>
      <c r="K11" s="56" t="s">
        <v>4</v>
      </c>
      <c r="L11" s="56" t="s">
        <v>177</v>
      </c>
      <c r="M11" s="56" t="s">
        <v>5</v>
      </c>
      <c r="N11" s="56" t="s">
        <v>100</v>
      </c>
      <c r="O11" s="56" t="s">
        <v>102</v>
      </c>
      <c r="P11" s="56" t="s">
        <v>264</v>
      </c>
      <c r="Q11" s="56" t="s">
        <v>265</v>
      </c>
      <c r="R11" s="56" t="s">
        <v>178</v>
      </c>
      <c r="S11" s="56" t="s">
        <v>266</v>
      </c>
      <c r="T11" s="56" t="s">
        <v>267</v>
      </c>
      <c r="U11" s="56" t="s">
        <v>268</v>
      </c>
      <c r="V11" s="22"/>
      <c r="W11" s="22"/>
      <c r="X11" s="22"/>
      <c r="Y11" s="22"/>
      <c r="Z11" s="22"/>
      <c r="AA11"/>
      <c r="AB11"/>
      <c r="AC11"/>
      <c r="AD11"/>
      <c r="AE11"/>
      <c r="AF11"/>
      <c r="AG11"/>
      <c r="AH11"/>
      <c r="AI11"/>
      <c r="AJ11"/>
      <c r="AK11"/>
      <c r="AL11"/>
      <c r="AM11"/>
      <c r="AN11"/>
      <c r="AO11"/>
      <c r="AP11"/>
      <c r="AQ11"/>
      <c r="AR11"/>
      <c r="AS11"/>
      <c r="AT11"/>
    </row>
    <row r="12" spans="1:46">
      <c r="A12" s="47" t="s">
        <v>120</v>
      </c>
      <c r="B12" s="45" t="s">
        <v>88</v>
      </c>
      <c r="C12" s="45" t="s">
        <v>121</v>
      </c>
      <c r="D12" s="45" t="s">
        <v>114</v>
      </c>
      <c r="E12" s="45" t="s">
        <v>90</v>
      </c>
      <c r="F12" s="45" t="s">
        <v>109</v>
      </c>
      <c r="G12" s="45" t="s">
        <v>122</v>
      </c>
      <c r="H12" s="45" t="s">
        <v>123</v>
      </c>
      <c r="I12" s="45">
        <v>-600000</v>
      </c>
      <c r="J12" s="45"/>
      <c r="K12" s="45">
        <v>-600000</v>
      </c>
      <c r="L12" s="46"/>
      <c r="M12" s="46"/>
      <c r="N12" s="88"/>
      <c r="O12" s="88"/>
      <c r="P12" s="88"/>
      <c r="Q12" s="88"/>
      <c r="R12" s="88"/>
      <c r="S12" s="142"/>
      <c r="T12" s="142"/>
      <c r="U12" s="142"/>
      <c r="V12" s="88"/>
      <c r="W12" s="53"/>
      <c r="X12" s="53"/>
      <c r="Y12" s="53"/>
      <c r="Z12" s="53"/>
      <c r="AA12"/>
      <c r="AB12"/>
      <c r="AC12"/>
      <c r="AD12"/>
      <c r="AE12"/>
      <c r="AF12"/>
      <c r="AG12"/>
      <c r="AH12"/>
      <c r="AI12"/>
      <c r="AJ12"/>
      <c r="AK12"/>
      <c r="AL12"/>
      <c r="AM12"/>
      <c r="AN12"/>
      <c r="AO12"/>
      <c r="AP12"/>
      <c r="AQ12"/>
      <c r="AR12"/>
      <c r="AS12"/>
      <c r="AT12"/>
    </row>
    <row r="13" spans="1:46">
      <c r="A13" s="48" t="s">
        <v>124</v>
      </c>
      <c r="B13" s="46" t="s">
        <v>88</v>
      </c>
      <c r="C13" s="46" t="s">
        <v>125</v>
      </c>
      <c r="D13" s="46" t="s">
        <v>114</v>
      </c>
      <c r="E13" s="46" t="s">
        <v>112</v>
      </c>
      <c r="F13" s="46" t="s">
        <v>95</v>
      </c>
      <c r="G13" s="46"/>
      <c r="H13" s="46" t="s">
        <v>126</v>
      </c>
      <c r="I13" s="46">
        <v>-1515000</v>
      </c>
      <c r="J13" s="46"/>
      <c r="K13" s="46"/>
      <c r="L13" s="46"/>
      <c r="M13" s="46"/>
      <c r="N13" s="88"/>
      <c r="O13" s="88"/>
      <c r="P13" s="88"/>
      <c r="Q13" s="88"/>
      <c r="R13" s="88">
        <v>-1515000</v>
      </c>
      <c r="S13" s="142"/>
      <c r="T13" s="142"/>
      <c r="U13" s="142"/>
      <c r="V13" s="88"/>
      <c r="W13" s="53"/>
      <c r="X13" s="53"/>
      <c r="Y13" s="53"/>
      <c r="Z13" s="53"/>
      <c r="AA13"/>
      <c r="AB13"/>
      <c r="AC13"/>
      <c r="AD13"/>
      <c r="AE13"/>
      <c r="AF13"/>
      <c r="AG13"/>
      <c r="AH13"/>
      <c r="AI13"/>
      <c r="AJ13"/>
      <c r="AK13"/>
      <c r="AL13"/>
      <c r="AM13"/>
      <c r="AN13"/>
      <c r="AO13"/>
      <c r="AP13"/>
      <c r="AQ13"/>
      <c r="AR13"/>
      <c r="AS13"/>
      <c r="AT13"/>
    </row>
    <row r="14" spans="1:46">
      <c r="A14" s="48" t="s">
        <v>124</v>
      </c>
      <c r="B14" s="46" t="s">
        <v>88</v>
      </c>
      <c r="C14" s="46" t="s">
        <v>127</v>
      </c>
      <c r="D14" s="46" t="s">
        <v>114</v>
      </c>
      <c r="E14" s="46" t="s">
        <v>90</v>
      </c>
      <c r="F14" s="46" t="s">
        <v>91</v>
      </c>
      <c r="G14" s="46"/>
      <c r="H14" s="46" t="s">
        <v>128</v>
      </c>
      <c r="I14" s="46">
        <v>-7367764</v>
      </c>
      <c r="J14" s="46"/>
      <c r="K14" s="46"/>
      <c r="L14" s="46"/>
      <c r="M14" s="46"/>
      <c r="N14" s="88"/>
      <c r="O14" s="88"/>
      <c r="P14" s="88"/>
      <c r="Q14" s="88"/>
      <c r="R14" s="88">
        <v>-7367764</v>
      </c>
      <c r="S14" s="142"/>
      <c r="T14" s="142"/>
      <c r="U14" s="142"/>
      <c r="V14" s="88"/>
      <c r="W14" s="53"/>
      <c r="X14" s="53"/>
      <c r="Y14" s="53"/>
      <c r="Z14" s="53"/>
      <c r="AA14"/>
      <c r="AB14"/>
      <c r="AC14"/>
      <c r="AD14"/>
      <c r="AE14"/>
      <c r="AF14"/>
      <c r="AG14"/>
      <c r="AH14"/>
      <c r="AI14"/>
      <c r="AJ14"/>
      <c r="AK14"/>
      <c r="AL14"/>
      <c r="AM14"/>
      <c r="AN14"/>
      <c r="AO14"/>
      <c r="AP14"/>
      <c r="AQ14"/>
      <c r="AR14"/>
      <c r="AS14"/>
      <c r="AT14"/>
    </row>
    <row r="15" spans="1:46">
      <c r="A15" s="48" t="s">
        <v>109</v>
      </c>
      <c r="B15" s="46" t="s">
        <v>88</v>
      </c>
      <c r="C15" s="46" t="s">
        <v>129</v>
      </c>
      <c r="D15" s="46" t="s">
        <v>114</v>
      </c>
      <c r="E15" s="46" t="s">
        <v>90</v>
      </c>
      <c r="F15" s="46" t="s">
        <v>95</v>
      </c>
      <c r="G15" s="46"/>
      <c r="H15" s="46" t="s">
        <v>130</v>
      </c>
      <c r="I15" s="46">
        <v>-1343471</v>
      </c>
      <c r="J15" s="46"/>
      <c r="K15" s="46"/>
      <c r="L15" s="46"/>
      <c r="M15" s="46"/>
      <c r="N15" s="88"/>
      <c r="O15" s="88"/>
      <c r="P15" s="88"/>
      <c r="Q15" s="88"/>
      <c r="R15" s="88">
        <v>-1343471</v>
      </c>
      <c r="S15" s="142"/>
      <c r="T15" s="142"/>
      <c r="U15" s="142"/>
      <c r="V15" s="88"/>
      <c r="W15" s="53"/>
      <c r="X15" s="53"/>
      <c r="Y15" s="53"/>
      <c r="Z15" s="53"/>
      <c r="AA15"/>
      <c r="AB15"/>
      <c r="AC15"/>
      <c r="AD15"/>
      <c r="AE15"/>
      <c r="AF15"/>
      <c r="AG15"/>
      <c r="AH15"/>
      <c r="AI15"/>
      <c r="AJ15"/>
      <c r="AK15"/>
      <c r="AL15"/>
      <c r="AM15"/>
      <c r="AN15"/>
      <c r="AO15"/>
      <c r="AP15"/>
      <c r="AQ15"/>
      <c r="AR15"/>
      <c r="AS15"/>
      <c r="AT15"/>
    </row>
    <row r="16" spans="1:46">
      <c r="A16" s="48" t="s">
        <v>109</v>
      </c>
      <c r="B16" s="46" t="s">
        <v>88</v>
      </c>
      <c r="C16" s="46" t="s">
        <v>131</v>
      </c>
      <c r="D16" s="46" t="s">
        <v>114</v>
      </c>
      <c r="E16" s="46" t="s">
        <v>93</v>
      </c>
      <c r="F16" s="46" t="s">
        <v>91</v>
      </c>
      <c r="G16" s="46"/>
      <c r="H16" s="46" t="s">
        <v>132</v>
      </c>
      <c r="I16" s="46">
        <v>-183932</v>
      </c>
      <c r="J16" s="46"/>
      <c r="K16" s="46"/>
      <c r="L16" s="46"/>
      <c r="M16" s="46"/>
      <c r="N16" s="88"/>
      <c r="O16" s="88"/>
      <c r="P16" s="88"/>
      <c r="Q16" s="88"/>
      <c r="R16" s="88">
        <v>-183932</v>
      </c>
      <c r="S16" s="142"/>
      <c r="T16" s="142"/>
      <c r="U16" s="142"/>
      <c r="V16" s="88"/>
      <c r="W16" s="53"/>
      <c r="X16" s="53"/>
      <c r="Y16" s="53"/>
      <c r="Z16" s="53"/>
      <c r="AA16"/>
      <c r="AB16"/>
      <c r="AC16"/>
      <c r="AD16"/>
      <c r="AE16"/>
      <c r="AF16"/>
      <c r="AG16"/>
      <c r="AH16"/>
      <c r="AI16"/>
      <c r="AJ16"/>
      <c r="AK16"/>
      <c r="AL16"/>
      <c r="AM16"/>
      <c r="AN16"/>
      <c r="AO16"/>
      <c r="AP16"/>
      <c r="AQ16"/>
      <c r="AR16"/>
      <c r="AS16"/>
      <c r="AT16"/>
    </row>
    <row r="17" spans="1:46">
      <c r="A17" s="49" t="s">
        <v>109</v>
      </c>
      <c r="B17" s="50" t="s">
        <v>89</v>
      </c>
      <c r="C17" s="50" t="s">
        <v>121</v>
      </c>
      <c r="D17" s="50" t="s">
        <v>90</v>
      </c>
      <c r="E17" s="50" t="s">
        <v>114</v>
      </c>
      <c r="F17" s="50"/>
      <c r="G17" s="50" t="s">
        <v>122</v>
      </c>
      <c r="H17" s="50" t="s">
        <v>133</v>
      </c>
      <c r="I17" s="50">
        <v>600000</v>
      </c>
      <c r="J17" s="50"/>
      <c r="K17" s="50">
        <v>600000</v>
      </c>
      <c r="L17" s="50"/>
      <c r="M17" s="50"/>
      <c r="N17" s="88"/>
      <c r="O17" s="88"/>
      <c r="P17" s="88"/>
      <c r="Q17" s="88"/>
      <c r="R17" s="88"/>
      <c r="S17" s="142"/>
      <c r="T17" s="142"/>
      <c r="U17" s="142"/>
      <c r="V17" s="88"/>
      <c r="W17" s="53"/>
      <c r="X17" s="53"/>
      <c r="Y17" s="53"/>
      <c r="Z17" s="53"/>
      <c r="AA17"/>
      <c r="AB17"/>
      <c r="AC17"/>
      <c r="AD17"/>
      <c r="AE17"/>
      <c r="AF17"/>
      <c r="AG17"/>
      <c r="AH17"/>
      <c r="AI17"/>
      <c r="AJ17"/>
      <c r="AK17"/>
      <c r="AL17"/>
      <c r="AM17"/>
      <c r="AN17"/>
      <c r="AO17"/>
      <c r="AP17"/>
      <c r="AQ17"/>
      <c r="AR17"/>
      <c r="AS17"/>
      <c r="AT17"/>
    </row>
    <row r="18" spans="1:46">
      <c r="A18" s="59" t="s">
        <v>109</v>
      </c>
      <c r="B18" s="60" t="s">
        <v>105</v>
      </c>
      <c r="C18" s="60" t="s">
        <v>134</v>
      </c>
      <c r="D18" s="60" t="s">
        <v>90</v>
      </c>
      <c r="E18" s="60" t="s">
        <v>114</v>
      </c>
      <c r="F18" s="60" t="s">
        <v>109</v>
      </c>
      <c r="G18" s="60" t="s">
        <v>122</v>
      </c>
      <c r="H18" s="60" t="s">
        <v>135</v>
      </c>
      <c r="I18" s="60">
        <v>872494</v>
      </c>
      <c r="J18" s="60"/>
      <c r="K18" s="60">
        <v>872494</v>
      </c>
      <c r="L18" s="60"/>
      <c r="M18" s="60"/>
      <c r="N18" s="88"/>
      <c r="O18" s="88"/>
      <c r="P18" s="88"/>
      <c r="Q18" s="88"/>
      <c r="R18" s="88"/>
      <c r="S18" s="142"/>
      <c r="T18" s="142"/>
      <c r="U18" s="142"/>
      <c r="V18" s="88"/>
      <c r="W18" s="53"/>
      <c r="X18" s="53"/>
      <c r="Y18" s="53"/>
      <c r="Z18" s="53"/>
      <c r="AA18"/>
      <c r="AB18"/>
      <c r="AC18"/>
      <c r="AD18"/>
      <c r="AE18"/>
      <c r="AF18"/>
      <c r="AG18"/>
      <c r="AH18"/>
      <c r="AI18"/>
      <c r="AJ18"/>
      <c r="AK18"/>
      <c r="AL18"/>
      <c r="AM18"/>
      <c r="AN18"/>
      <c r="AO18"/>
      <c r="AP18"/>
      <c r="AQ18"/>
      <c r="AR18"/>
      <c r="AS18"/>
      <c r="AT18"/>
    </row>
    <row r="19" spans="1:46">
      <c r="A19" s="71" t="s">
        <v>91</v>
      </c>
      <c r="B19" s="73" t="s">
        <v>97</v>
      </c>
      <c r="C19" s="73" t="s">
        <v>136</v>
      </c>
      <c r="D19" s="73" t="s">
        <v>114</v>
      </c>
      <c r="E19" s="73" t="s">
        <v>90</v>
      </c>
      <c r="F19" s="73" t="s">
        <v>91</v>
      </c>
      <c r="G19" s="73"/>
      <c r="H19" s="73" t="s">
        <v>137</v>
      </c>
      <c r="I19" s="73">
        <v>-299144</v>
      </c>
      <c r="J19" s="73"/>
      <c r="K19" s="73">
        <v>-194144</v>
      </c>
      <c r="L19" s="73"/>
      <c r="M19" s="73">
        <v>-105000</v>
      </c>
      <c r="N19" s="88"/>
      <c r="O19" s="88"/>
      <c r="P19" s="88"/>
      <c r="Q19" s="88"/>
      <c r="R19" s="88"/>
      <c r="S19" s="142"/>
      <c r="T19" s="142"/>
      <c r="U19" s="142"/>
      <c r="V19" s="88"/>
      <c r="W19" s="53"/>
      <c r="X19" s="53"/>
      <c r="Y19" s="53"/>
      <c r="Z19" s="53"/>
      <c r="AE19"/>
      <c r="AF19"/>
      <c r="AG19"/>
      <c r="AH19"/>
      <c r="AI19"/>
      <c r="AJ19"/>
      <c r="AK19"/>
      <c r="AL19"/>
      <c r="AM19"/>
      <c r="AN19"/>
      <c r="AO19"/>
      <c r="AP19"/>
      <c r="AQ19"/>
      <c r="AR19"/>
      <c r="AS19"/>
      <c r="AT19"/>
    </row>
    <row r="20" spans="1:46">
      <c r="A20" s="72" t="s">
        <v>91</v>
      </c>
      <c r="B20" s="74" t="s">
        <v>88</v>
      </c>
      <c r="C20" s="74" t="s">
        <v>138</v>
      </c>
      <c r="D20" s="74" t="s">
        <v>114</v>
      </c>
      <c r="E20" s="74" t="s">
        <v>106</v>
      </c>
      <c r="F20" s="74" t="s">
        <v>139</v>
      </c>
      <c r="G20" s="74"/>
      <c r="H20" s="74" t="s">
        <v>140</v>
      </c>
      <c r="I20" s="74">
        <v>-4252198</v>
      </c>
      <c r="J20" s="74"/>
      <c r="K20" s="74"/>
      <c r="L20" s="74"/>
      <c r="M20" s="74"/>
      <c r="N20" s="88"/>
      <c r="O20" s="88"/>
      <c r="P20" s="88"/>
      <c r="Q20" s="88"/>
      <c r="R20" s="88">
        <v>-4252198</v>
      </c>
      <c r="S20" s="142"/>
      <c r="T20" s="142"/>
      <c r="U20" s="142"/>
      <c r="V20" s="88"/>
      <c r="W20" s="53"/>
      <c r="X20" s="53"/>
      <c r="Y20" s="53"/>
      <c r="Z20" s="53"/>
      <c r="AA20" s="54"/>
      <c r="AB20" s="54"/>
      <c r="AC20" s="54"/>
      <c r="AD20" s="54"/>
      <c r="AE20"/>
      <c r="AF20"/>
      <c r="AG20"/>
      <c r="AH20"/>
      <c r="AI20"/>
      <c r="AJ20"/>
      <c r="AK20"/>
      <c r="AL20"/>
      <c r="AM20"/>
      <c r="AN20"/>
      <c r="AO20"/>
      <c r="AP20"/>
      <c r="AQ20"/>
      <c r="AR20"/>
      <c r="AS20"/>
      <c r="AT20"/>
    </row>
    <row r="21" spans="1:46">
      <c r="A21" s="76" t="s">
        <v>91</v>
      </c>
      <c r="B21" s="77" t="s">
        <v>88</v>
      </c>
      <c r="C21" s="77" t="s">
        <v>141</v>
      </c>
      <c r="D21" s="77" t="s">
        <v>114</v>
      </c>
      <c r="E21" s="77" t="s">
        <v>142</v>
      </c>
      <c r="F21" s="77" t="s">
        <v>95</v>
      </c>
      <c r="G21" s="77"/>
      <c r="H21" s="77" t="s">
        <v>143</v>
      </c>
      <c r="I21" s="77">
        <v>-350000</v>
      </c>
      <c r="J21" s="77"/>
      <c r="K21" s="77">
        <v>-350000</v>
      </c>
      <c r="L21" s="77"/>
      <c r="M21" s="77"/>
      <c r="N21" s="88"/>
      <c r="O21" s="88"/>
      <c r="P21" s="88"/>
      <c r="Q21" s="88"/>
      <c r="R21" s="88"/>
      <c r="S21" s="142"/>
      <c r="T21" s="142"/>
      <c r="U21" s="142"/>
      <c r="V21" s="88"/>
      <c r="W21" s="53"/>
      <c r="X21" s="53"/>
      <c r="Y21" s="53"/>
      <c r="Z21" s="53"/>
      <c r="AE21"/>
      <c r="AF21"/>
      <c r="AG21"/>
      <c r="AH21"/>
      <c r="AI21"/>
      <c r="AJ21"/>
      <c r="AK21"/>
      <c r="AL21"/>
      <c r="AM21"/>
      <c r="AN21"/>
      <c r="AO21"/>
      <c r="AP21"/>
      <c r="AQ21"/>
      <c r="AR21"/>
      <c r="AS21"/>
      <c r="AT21"/>
    </row>
    <row r="22" spans="1:46">
      <c r="A22" s="78" t="s">
        <v>91</v>
      </c>
      <c r="B22" s="79" t="s">
        <v>88</v>
      </c>
      <c r="C22" s="79" t="s">
        <v>144</v>
      </c>
      <c r="D22" s="79" t="s">
        <v>114</v>
      </c>
      <c r="E22" s="79" t="s">
        <v>90</v>
      </c>
      <c r="F22" s="79" t="s">
        <v>145</v>
      </c>
      <c r="G22" s="79"/>
      <c r="H22" s="79" t="s">
        <v>146</v>
      </c>
      <c r="I22" s="79">
        <v>-4822190</v>
      </c>
      <c r="J22" s="79"/>
      <c r="K22" s="79"/>
      <c r="L22" s="79"/>
      <c r="M22" s="79"/>
      <c r="N22" s="88"/>
      <c r="O22" s="88"/>
      <c r="P22" s="88"/>
      <c r="Q22" s="88"/>
      <c r="R22" s="88">
        <v>-4822190</v>
      </c>
      <c r="S22" s="142"/>
      <c r="T22" s="142"/>
      <c r="U22" s="142"/>
      <c r="V22" s="88"/>
      <c r="W22" s="53"/>
      <c r="X22" s="53"/>
      <c r="Y22" s="53"/>
      <c r="Z22" s="53"/>
      <c r="AE22"/>
      <c r="AF22"/>
      <c r="AG22"/>
      <c r="AH22"/>
      <c r="AI22"/>
      <c r="AJ22"/>
      <c r="AK22"/>
      <c r="AL22"/>
      <c r="AM22"/>
      <c r="AN22"/>
      <c r="AO22"/>
      <c r="AP22"/>
      <c r="AQ22"/>
      <c r="AR22"/>
      <c r="AS22"/>
      <c r="AT22"/>
    </row>
    <row r="23" spans="1:46">
      <c r="A23" s="80" t="s">
        <v>91</v>
      </c>
      <c r="B23" s="82" t="s">
        <v>88</v>
      </c>
      <c r="C23" s="82" t="s">
        <v>147</v>
      </c>
      <c r="D23" s="82" t="s">
        <v>114</v>
      </c>
      <c r="E23" s="82" t="s">
        <v>148</v>
      </c>
      <c r="F23" s="82" t="s">
        <v>92</v>
      </c>
      <c r="G23" s="82"/>
      <c r="H23" s="82" t="s">
        <v>149</v>
      </c>
      <c r="I23" s="82">
        <v>-185000</v>
      </c>
      <c r="J23" s="82"/>
      <c r="K23" s="82"/>
      <c r="L23" s="82"/>
      <c r="M23" s="82"/>
      <c r="N23" s="88"/>
      <c r="O23" s="88"/>
      <c r="P23" s="88"/>
      <c r="Q23" s="88"/>
      <c r="R23" s="88">
        <v>-185000</v>
      </c>
      <c r="S23" s="142"/>
      <c r="T23" s="142"/>
      <c r="U23" s="142"/>
      <c r="V23" s="88"/>
      <c r="W23" s="53"/>
      <c r="X23" s="53"/>
      <c r="Y23" s="53"/>
      <c r="Z23" s="53"/>
      <c r="AE23"/>
      <c r="AF23"/>
      <c r="AG23"/>
      <c r="AH23"/>
      <c r="AI23"/>
      <c r="AJ23"/>
      <c r="AK23"/>
      <c r="AL23"/>
      <c r="AM23"/>
      <c r="AN23"/>
      <c r="AO23"/>
      <c r="AP23"/>
      <c r="AQ23"/>
      <c r="AR23"/>
      <c r="AS23"/>
      <c r="AT23"/>
    </row>
    <row r="24" spans="1:46">
      <c r="A24" s="81" t="s">
        <v>91</v>
      </c>
      <c r="B24" s="83" t="s">
        <v>89</v>
      </c>
      <c r="C24" s="83" t="s">
        <v>131</v>
      </c>
      <c r="D24" s="83" t="s">
        <v>93</v>
      </c>
      <c r="E24" s="83" t="s">
        <v>114</v>
      </c>
      <c r="F24" s="83" t="s">
        <v>91</v>
      </c>
      <c r="G24" s="83"/>
      <c r="H24" s="83" t="s">
        <v>150</v>
      </c>
      <c r="I24" s="83">
        <v>183932</v>
      </c>
      <c r="J24" s="83"/>
      <c r="K24" s="83"/>
      <c r="L24" s="83"/>
      <c r="M24" s="83"/>
      <c r="N24" s="88"/>
      <c r="O24" s="88"/>
      <c r="P24" s="88"/>
      <c r="Q24" s="88"/>
      <c r="R24" s="88">
        <v>183932</v>
      </c>
      <c r="S24" s="142"/>
      <c r="T24" s="142"/>
      <c r="U24" s="142"/>
      <c r="V24" s="88"/>
      <c r="W24" s="53"/>
      <c r="X24" s="53"/>
      <c r="Y24" s="53"/>
      <c r="Z24" s="53"/>
      <c r="AE24"/>
      <c r="AF24"/>
      <c r="AG24"/>
      <c r="AH24"/>
      <c r="AI24"/>
      <c r="AJ24"/>
      <c r="AK24"/>
      <c r="AL24"/>
      <c r="AM24"/>
      <c r="AN24"/>
      <c r="AO24"/>
      <c r="AP24"/>
      <c r="AQ24"/>
      <c r="AR24"/>
      <c r="AS24"/>
      <c r="AT24"/>
    </row>
    <row r="25" spans="1:46">
      <c r="A25" s="16" t="s">
        <v>91</v>
      </c>
      <c r="B25" s="16" t="s">
        <v>89</v>
      </c>
      <c r="C25" s="16" t="s">
        <v>127</v>
      </c>
      <c r="D25" s="16" t="s">
        <v>90</v>
      </c>
      <c r="E25" s="16" t="s">
        <v>114</v>
      </c>
      <c r="H25" s="16" t="s">
        <v>151</v>
      </c>
      <c r="I25" s="16">
        <v>7367764</v>
      </c>
      <c r="N25" s="89"/>
      <c r="O25" s="89"/>
      <c r="P25" s="89"/>
      <c r="Q25" s="89"/>
      <c r="R25" s="89">
        <v>7367764</v>
      </c>
      <c r="S25" s="143"/>
      <c r="T25" s="143"/>
      <c r="U25" s="143"/>
      <c r="V25" s="89"/>
      <c r="W25" s="53"/>
      <c r="X25" s="53"/>
      <c r="Y25" s="53"/>
      <c r="Z25" s="53"/>
      <c r="AE25"/>
      <c r="AF25"/>
      <c r="AG25"/>
      <c r="AH25"/>
      <c r="AI25"/>
      <c r="AJ25"/>
      <c r="AK25"/>
      <c r="AL25"/>
      <c r="AM25"/>
      <c r="AN25"/>
      <c r="AO25"/>
      <c r="AP25"/>
      <c r="AQ25"/>
      <c r="AR25"/>
      <c r="AS25"/>
      <c r="AT25"/>
    </row>
    <row r="26" spans="1:46">
      <c r="A26" s="16" t="s">
        <v>91</v>
      </c>
      <c r="B26" s="16" t="s">
        <v>101</v>
      </c>
      <c r="C26" s="16" t="s">
        <v>152</v>
      </c>
      <c r="D26" s="16" t="s">
        <v>114</v>
      </c>
      <c r="E26" s="16" t="s">
        <v>90</v>
      </c>
      <c r="H26" s="16" t="s">
        <v>153</v>
      </c>
      <c r="I26" s="16">
        <v>-456850</v>
      </c>
      <c r="K26" s="16">
        <v>-456850</v>
      </c>
      <c r="N26" s="89"/>
      <c r="O26" s="89"/>
      <c r="P26" s="89"/>
      <c r="Q26" s="89"/>
      <c r="R26" s="89"/>
      <c r="S26" s="143"/>
      <c r="T26" s="143"/>
      <c r="U26" s="143"/>
      <c r="V26" s="89"/>
      <c r="W26" s="53"/>
      <c r="X26" s="53"/>
      <c r="Y26" s="53"/>
      <c r="Z26" s="53"/>
      <c r="AE26"/>
      <c r="AF26"/>
      <c r="AG26"/>
      <c r="AH26"/>
      <c r="AI26"/>
      <c r="AJ26"/>
      <c r="AK26"/>
      <c r="AL26"/>
      <c r="AM26"/>
      <c r="AN26"/>
      <c r="AO26"/>
      <c r="AP26"/>
      <c r="AQ26"/>
      <c r="AR26"/>
      <c r="AS26"/>
      <c r="AT26"/>
    </row>
    <row r="27" spans="1:46">
      <c r="A27" s="16" t="s">
        <v>95</v>
      </c>
      <c r="B27" s="16" t="s">
        <v>88</v>
      </c>
      <c r="C27" s="16" t="s">
        <v>154</v>
      </c>
      <c r="D27" s="16" t="s">
        <v>114</v>
      </c>
      <c r="E27" s="16" t="s">
        <v>111</v>
      </c>
      <c r="F27" s="16" t="s">
        <v>94</v>
      </c>
      <c r="H27" s="16" t="s">
        <v>155</v>
      </c>
      <c r="I27" s="16">
        <v>-280053</v>
      </c>
      <c r="N27" s="89"/>
      <c r="O27" s="89"/>
      <c r="P27" s="89"/>
      <c r="Q27" s="89"/>
      <c r="R27" s="89">
        <v>-280053</v>
      </c>
      <c r="S27" s="143"/>
      <c r="T27" s="143"/>
      <c r="U27" s="143"/>
      <c r="V27" s="89"/>
      <c r="W27" s="53"/>
      <c r="X27" s="53"/>
      <c r="Y27" s="53"/>
      <c r="Z27" s="53"/>
      <c r="AE27"/>
      <c r="AF27"/>
      <c r="AG27"/>
      <c r="AH27"/>
      <c r="AI27"/>
      <c r="AJ27"/>
      <c r="AK27"/>
      <c r="AL27"/>
      <c r="AM27"/>
      <c r="AN27"/>
      <c r="AO27"/>
      <c r="AP27"/>
      <c r="AQ27"/>
      <c r="AR27"/>
      <c r="AS27"/>
      <c r="AT27"/>
    </row>
    <row r="28" spans="1:46">
      <c r="A28" s="16" t="s">
        <v>95</v>
      </c>
      <c r="B28" s="16" t="s">
        <v>89</v>
      </c>
      <c r="C28" s="16" t="s">
        <v>129</v>
      </c>
      <c r="D28" s="16" t="s">
        <v>90</v>
      </c>
      <c r="E28" s="16" t="s">
        <v>114</v>
      </c>
      <c r="H28" s="16" t="s">
        <v>156</v>
      </c>
      <c r="I28" s="16">
        <v>1343471</v>
      </c>
      <c r="N28" s="89"/>
      <c r="O28" s="89"/>
      <c r="P28" s="89"/>
      <c r="Q28" s="89"/>
      <c r="R28" s="89">
        <v>1343471</v>
      </c>
      <c r="S28" s="143"/>
      <c r="T28" s="143"/>
      <c r="U28" s="143"/>
      <c r="V28" s="89"/>
      <c r="W28" s="53"/>
      <c r="X28" s="53"/>
      <c r="Y28" s="53"/>
      <c r="Z28" s="53"/>
      <c r="AE28"/>
      <c r="AF28"/>
      <c r="AG28"/>
      <c r="AH28"/>
      <c r="AI28"/>
      <c r="AJ28"/>
      <c r="AK28"/>
      <c r="AL28"/>
      <c r="AM28"/>
      <c r="AN28"/>
      <c r="AO28"/>
      <c r="AP28"/>
      <c r="AQ28"/>
      <c r="AR28"/>
      <c r="AS28"/>
      <c r="AT28"/>
    </row>
    <row r="29" spans="1:46">
      <c r="A29" s="16" t="s">
        <v>95</v>
      </c>
      <c r="B29" s="16" t="s">
        <v>89</v>
      </c>
      <c r="C29" s="16" t="s">
        <v>125</v>
      </c>
      <c r="D29" s="16" t="s">
        <v>112</v>
      </c>
      <c r="E29" s="16" t="s">
        <v>114</v>
      </c>
      <c r="H29" s="16" t="s">
        <v>157</v>
      </c>
      <c r="I29" s="16">
        <v>1515000</v>
      </c>
      <c r="N29" s="89"/>
      <c r="O29" s="89"/>
      <c r="P29" s="89"/>
      <c r="Q29" s="89"/>
      <c r="R29" s="89">
        <v>1515000</v>
      </c>
      <c r="S29" s="143"/>
      <c r="T29" s="143"/>
      <c r="U29" s="143"/>
      <c r="V29" s="89"/>
      <c r="W29" s="53"/>
      <c r="X29" s="53"/>
      <c r="Y29" s="53"/>
      <c r="Z29" s="53"/>
      <c r="AE29"/>
      <c r="AF29"/>
      <c r="AG29"/>
      <c r="AH29"/>
      <c r="AI29"/>
      <c r="AJ29"/>
      <c r="AK29"/>
      <c r="AL29"/>
      <c r="AM29"/>
      <c r="AN29"/>
      <c r="AO29"/>
      <c r="AP29"/>
      <c r="AQ29"/>
      <c r="AR29"/>
      <c r="AS29"/>
      <c r="AT29"/>
    </row>
    <row r="30" spans="1:46">
      <c r="A30" s="16" t="s">
        <v>95</v>
      </c>
      <c r="B30" s="16" t="s">
        <v>89</v>
      </c>
      <c r="C30" s="16" t="s">
        <v>141</v>
      </c>
      <c r="D30" s="16" t="s">
        <v>142</v>
      </c>
      <c r="E30" s="16" t="s">
        <v>114</v>
      </c>
      <c r="F30" s="16" t="s">
        <v>95</v>
      </c>
      <c r="H30" s="16" t="s">
        <v>158</v>
      </c>
      <c r="I30" s="16">
        <v>350000</v>
      </c>
      <c r="K30" s="16">
        <v>350000</v>
      </c>
      <c r="N30" s="89"/>
      <c r="O30" s="89"/>
      <c r="P30" s="89"/>
      <c r="Q30" s="89"/>
      <c r="R30" s="89"/>
      <c r="S30" s="143"/>
      <c r="T30" s="143"/>
      <c r="U30" s="143"/>
      <c r="V30" s="89"/>
      <c r="W30" s="53"/>
      <c r="X30" s="53"/>
      <c r="Y30" s="53"/>
      <c r="Z30" s="53"/>
      <c r="AE30"/>
      <c r="AF30"/>
      <c r="AG30"/>
      <c r="AH30"/>
      <c r="AI30"/>
      <c r="AJ30"/>
      <c r="AK30"/>
      <c r="AL30"/>
      <c r="AM30"/>
      <c r="AN30"/>
      <c r="AO30"/>
      <c r="AP30"/>
      <c r="AQ30"/>
      <c r="AR30"/>
      <c r="AS30"/>
      <c r="AT30"/>
    </row>
    <row r="31" spans="1:46">
      <c r="A31" s="16" t="s">
        <v>95</v>
      </c>
      <c r="B31" s="16" t="s">
        <v>89</v>
      </c>
      <c r="C31" s="16" t="s">
        <v>144</v>
      </c>
      <c r="D31" s="16" t="s">
        <v>90</v>
      </c>
      <c r="E31" s="16" t="s">
        <v>114</v>
      </c>
      <c r="H31" s="16" t="s">
        <v>146</v>
      </c>
      <c r="I31" s="16">
        <v>3286214</v>
      </c>
      <c r="N31" s="89"/>
      <c r="O31" s="89"/>
      <c r="P31" s="89"/>
      <c r="Q31" s="89"/>
      <c r="R31" s="89">
        <v>3286214</v>
      </c>
      <c r="S31" s="143"/>
      <c r="T31" s="143"/>
      <c r="U31" s="143"/>
      <c r="V31" s="89"/>
      <c r="W31" s="53"/>
      <c r="X31" s="53"/>
      <c r="Y31" s="53"/>
      <c r="Z31" s="53"/>
      <c r="AE31"/>
      <c r="AF31"/>
      <c r="AG31"/>
      <c r="AH31"/>
      <c r="AI31"/>
      <c r="AJ31"/>
      <c r="AK31"/>
      <c r="AL31"/>
      <c r="AM31"/>
      <c r="AN31"/>
      <c r="AO31"/>
      <c r="AP31"/>
      <c r="AQ31"/>
      <c r="AR31"/>
      <c r="AS31"/>
      <c r="AT31"/>
    </row>
    <row r="32" spans="1:46">
      <c r="A32" s="16" t="s">
        <v>94</v>
      </c>
      <c r="B32" s="16" t="s">
        <v>89</v>
      </c>
      <c r="C32" s="16" t="s">
        <v>138</v>
      </c>
      <c r="D32" s="16" t="s">
        <v>106</v>
      </c>
      <c r="E32" s="16" t="s">
        <v>114</v>
      </c>
      <c r="F32" s="16" t="s">
        <v>94</v>
      </c>
      <c r="H32" s="16" t="s">
        <v>140</v>
      </c>
      <c r="I32" s="16">
        <v>1200000</v>
      </c>
      <c r="N32" s="89"/>
      <c r="O32" s="89"/>
      <c r="P32" s="89"/>
      <c r="Q32" s="89"/>
      <c r="R32" s="89">
        <v>1200000</v>
      </c>
      <c r="S32" s="143"/>
      <c r="T32" s="143"/>
      <c r="U32" s="143"/>
      <c r="V32" s="89"/>
      <c r="W32" s="53"/>
      <c r="X32" s="53"/>
      <c r="Y32" s="53"/>
      <c r="Z32" s="53"/>
      <c r="AE32"/>
      <c r="AF32"/>
      <c r="AG32"/>
      <c r="AH32"/>
      <c r="AI32"/>
      <c r="AJ32"/>
      <c r="AK32"/>
      <c r="AL32"/>
      <c r="AM32"/>
      <c r="AN32"/>
      <c r="AO32"/>
      <c r="AP32"/>
      <c r="AQ32"/>
      <c r="AR32"/>
      <c r="AS32"/>
      <c r="AT32"/>
    </row>
    <row r="33" spans="1:46">
      <c r="A33" s="16" t="s">
        <v>94</v>
      </c>
      <c r="B33" s="16" t="s">
        <v>89</v>
      </c>
      <c r="C33" s="16" t="s">
        <v>144</v>
      </c>
      <c r="D33" s="16" t="s">
        <v>90</v>
      </c>
      <c r="E33" s="16" t="s">
        <v>114</v>
      </c>
      <c r="H33" s="16" t="s">
        <v>146</v>
      </c>
      <c r="I33" s="16">
        <v>1437910</v>
      </c>
      <c r="N33" s="89"/>
      <c r="O33" s="89"/>
      <c r="P33" s="89"/>
      <c r="Q33" s="89"/>
      <c r="R33" s="89">
        <v>1437910</v>
      </c>
      <c r="S33" s="143"/>
      <c r="T33" s="143"/>
      <c r="U33" s="143"/>
      <c r="V33" s="89"/>
      <c r="W33" s="53"/>
      <c r="X33" s="53"/>
      <c r="Y33" s="53"/>
      <c r="Z33" s="53"/>
      <c r="AE33"/>
      <c r="AF33"/>
      <c r="AG33"/>
      <c r="AH33"/>
      <c r="AI33"/>
      <c r="AJ33"/>
      <c r="AK33"/>
      <c r="AL33"/>
      <c r="AM33"/>
      <c r="AN33"/>
      <c r="AO33"/>
      <c r="AP33"/>
      <c r="AQ33"/>
      <c r="AR33"/>
      <c r="AS33"/>
      <c r="AT33"/>
    </row>
    <row r="34" spans="1:46">
      <c r="A34" s="16" t="s">
        <v>94</v>
      </c>
      <c r="B34" s="16" t="s">
        <v>89</v>
      </c>
      <c r="C34" s="16" t="s">
        <v>154</v>
      </c>
      <c r="D34" s="16" t="s">
        <v>111</v>
      </c>
      <c r="E34" s="16" t="s">
        <v>114</v>
      </c>
      <c r="F34" s="16" t="s">
        <v>94</v>
      </c>
      <c r="H34" s="16" t="s">
        <v>155</v>
      </c>
      <c r="I34" s="16">
        <v>280053</v>
      </c>
      <c r="N34" s="89"/>
      <c r="O34" s="89"/>
      <c r="P34" s="89"/>
      <c r="Q34" s="89"/>
      <c r="R34" s="89">
        <v>280053</v>
      </c>
      <c r="S34" s="143"/>
      <c r="T34" s="143"/>
      <c r="U34" s="143"/>
      <c r="V34" s="89"/>
      <c r="W34" s="53"/>
      <c r="X34" s="53"/>
      <c r="Y34" s="53"/>
      <c r="Z34" s="53"/>
      <c r="AE34"/>
      <c r="AF34"/>
      <c r="AG34"/>
      <c r="AH34"/>
      <c r="AI34"/>
      <c r="AJ34"/>
      <c r="AK34"/>
      <c r="AL34"/>
      <c r="AM34"/>
      <c r="AN34"/>
      <c r="AO34"/>
      <c r="AP34"/>
      <c r="AQ34"/>
      <c r="AR34"/>
      <c r="AS34"/>
      <c r="AT34"/>
    </row>
    <row r="35" spans="1:46">
      <c r="A35" s="16" t="s">
        <v>98</v>
      </c>
      <c r="B35" s="16" t="s">
        <v>88</v>
      </c>
      <c r="C35" s="16" t="s">
        <v>113</v>
      </c>
      <c r="D35" s="16" t="s">
        <v>114</v>
      </c>
      <c r="E35" s="16" t="s">
        <v>110</v>
      </c>
      <c r="F35" s="16" t="s">
        <v>99</v>
      </c>
      <c r="G35" s="16" t="s">
        <v>115</v>
      </c>
      <c r="H35" s="16" t="s">
        <v>116</v>
      </c>
      <c r="I35" s="16">
        <v>-643000</v>
      </c>
      <c r="N35" s="89"/>
      <c r="O35" s="89">
        <v>-643000</v>
      </c>
      <c r="P35" s="89"/>
      <c r="Q35" s="89"/>
      <c r="R35" s="89"/>
      <c r="S35" s="143"/>
      <c r="T35" s="143"/>
      <c r="U35" s="143"/>
      <c r="V35" s="89"/>
      <c r="W35" s="53"/>
      <c r="X35" s="53"/>
      <c r="Y35" s="53"/>
      <c r="Z35" s="53"/>
      <c r="AE35"/>
      <c r="AF35"/>
      <c r="AG35"/>
      <c r="AH35"/>
      <c r="AI35"/>
      <c r="AJ35"/>
      <c r="AK35"/>
      <c r="AL35"/>
      <c r="AM35"/>
      <c r="AN35"/>
      <c r="AO35"/>
      <c r="AP35"/>
      <c r="AQ35"/>
      <c r="AR35"/>
      <c r="AS35"/>
      <c r="AT35"/>
    </row>
    <row r="36" spans="1:46">
      <c r="A36" s="16" t="s">
        <v>98</v>
      </c>
      <c r="B36" s="16" t="s">
        <v>88</v>
      </c>
      <c r="C36" s="16" t="s">
        <v>159</v>
      </c>
      <c r="D36" s="16" t="s">
        <v>114</v>
      </c>
      <c r="E36" s="16" t="s">
        <v>142</v>
      </c>
      <c r="F36" s="16" t="s">
        <v>92</v>
      </c>
      <c r="G36" s="16" t="s">
        <v>160</v>
      </c>
      <c r="H36" s="16" t="s">
        <v>161</v>
      </c>
      <c r="I36" s="16">
        <v>-650000</v>
      </c>
      <c r="N36" s="89"/>
      <c r="O36" s="89"/>
      <c r="P36" s="89"/>
      <c r="Q36" s="89"/>
      <c r="R36" s="89">
        <v>-650000</v>
      </c>
      <c r="S36" s="143"/>
      <c r="T36" s="143"/>
      <c r="U36" s="143"/>
      <c r="V36" s="89"/>
      <c r="W36" s="53"/>
      <c r="X36" s="53"/>
      <c r="Y36" s="53"/>
      <c r="Z36" s="53"/>
      <c r="AE36"/>
      <c r="AF36"/>
      <c r="AG36"/>
      <c r="AH36"/>
      <c r="AI36"/>
      <c r="AJ36"/>
      <c r="AK36"/>
      <c r="AL36"/>
      <c r="AM36"/>
      <c r="AN36"/>
      <c r="AO36"/>
      <c r="AP36"/>
      <c r="AQ36"/>
      <c r="AR36"/>
      <c r="AS36"/>
      <c r="AT36"/>
    </row>
    <row r="37" spans="1:46">
      <c r="A37" s="87" t="s">
        <v>98</v>
      </c>
      <c r="B37" s="87" t="s">
        <v>88</v>
      </c>
      <c r="C37" s="87" t="s">
        <v>162</v>
      </c>
      <c r="D37" s="87" t="s">
        <v>114</v>
      </c>
      <c r="E37" s="87" t="s">
        <v>111</v>
      </c>
      <c r="F37" s="87" t="s">
        <v>99</v>
      </c>
      <c r="G37" s="87" t="s">
        <v>160</v>
      </c>
      <c r="H37" s="87" t="s">
        <v>163</v>
      </c>
      <c r="I37" s="87">
        <v>-151000</v>
      </c>
      <c r="J37" s="87"/>
      <c r="K37" s="87"/>
      <c r="L37" s="87"/>
      <c r="M37" s="87"/>
      <c r="N37" s="89"/>
      <c r="O37" s="89"/>
      <c r="P37" s="89"/>
      <c r="Q37" s="89"/>
      <c r="R37" s="89">
        <v>-151000</v>
      </c>
      <c r="S37" s="143"/>
      <c r="T37" s="143"/>
      <c r="U37" s="143"/>
      <c r="V37" s="89"/>
      <c r="W37" s="53"/>
      <c r="X37" s="53"/>
      <c r="Y37" s="53"/>
      <c r="Z37" s="53"/>
      <c r="AE37"/>
      <c r="AF37"/>
      <c r="AG37"/>
      <c r="AH37"/>
      <c r="AI37"/>
      <c r="AJ37"/>
      <c r="AK37"/>
      <c r="AL37"/>
      <c r="AM37"/>
      <c r="AN37"/>
      <c r="AO37"/>
      <c r="AP37"/>
      <c r="AQ37"/>
      <c r="AR37"/>
      <c r="AS37"/>
      <c r="AT37"/>
    </row>
    <row r="38" spans="1:46">
      <c r="A38" s="87" t="s">
        <v>98</v>
      </c>
      <c r="B38" s="87" t="s">
        <v>89</v>
      </c>
      <c r="C38" s="87" t="s">
        <v>138</v>
      </c>
      <c r="D38" s="87" t="s">
        <v>106</v>
      </c>
      <c r="E38" s="87" t="s">
        <v>114</v>
      </c>
      <c r="F38" s="87" t="s">
        <v>98</v>
      </c>
      <c r="G38" s="87"/>
      <c r="H38" s="87" t="s">
        <v>140</v>
      </c>
      <c r="I38" s="87">
        <v>2000000</v>
      </c>
      <c r="J38" s="87"/>
      <c r="K38" s="87"/>
      <c r="L38" s="87"/>
      <c r="M38" s="87"/>
      <c r="N38" s="89"/>
      <c r="O38" s="89"/>
      <c r="P38" s="89"/>
      <c r="Q38" s="89"/>
      <c r="R38" s="89">
        <v>2000000</v>
      </c>
      <c r="S38" s="143"/>
      <c r="T38" s="143"/>
      <c r="U38" s="143"/>
      <c r="V38" s="89"/>
      <c r="W38" s="53"/>
      <c r="X38" s="53"/>
      <c r="Y38" s="53"/>
      <c r="Z38" s="53"/>
      <c r="AE38"/>
      <c r="AF38"/>
      <c r="AG38"/>
      <c r="AH38"/>
      <c r="AI38"/>
      <c r="AJ38"/>
      <c r="AK38"/>
      <c r="AL38"/>
      <c r="AM38"/>
      <c r="AN38"/>
      <c r="AO38"/>
      <c r="AP38"/>
      <c r="AQ38"/>
      <c r="AR38"/>
      <c r="AS38"/>
      <c r="AT38"/>
    </row>
    <row r="39" spans="1:46">
      <c r="A39" s="87" t="s">
        <v>98</v>
      </c>
      <c r="B39" s="87" t="s">
        <v>89</v>
      </c>
      <c r="C39" s="87" t="s">
        <v>144</v>
      </c>
      <c r="D39" s="87" t="s">
        <v>90</v>
      </c>
      <c r="E39" s="87" t="s">
        <v>114</v>
      </c>
      <c r="F39" s="87" t="s">
        <v>98</v>
      </c>
      <c r="G39" s="87"/>
      <c r="H39" s="87" t="s">
        <v>146</v>
      </c>
      <c r="I39" s="87">
        <v>98066</v>
      </c>
      <c r="J39" s="87"/>
      <c r="K39" s="87"/>
      <c r="L39" s="87"/>
      <c r="M39" s="87"/>
      <c r="N39" s="89"/>
      <c r="O39" s="89"/>
      <c r="P39" s="89"/>
      <c r="Q39" s="89"/>
      <c r="R39" s="89">
        <v>98066</v>
      </c>
      <c r="S39" s="143"/>
      <c r="T39" s="143"/>
      <c r="U39" s="143"/>
      <c r="V39" s="89"/>
      <c r="W39" s="53"/>
      <c r="X39" s="53"/>
      <c r="Y39" s="53"/>
      <c r="Z39" s="53"/>
      <c r="AE39"/>
      <c r="AF39"/>
      <c r="AG39"/>
      <c r="AH39"/>
      <c r="AI39"/>
      <c r="AJ39"/>
      <c r="AK39"/>
      <c r="AL39"/>
      <c r="AM39"/>
      <c r="AN39"/>
      <c r="AO39"/>
      <c r="AP39"/>
      <c r="AQ39"/>
      <c r="AR39"/>
      <c r="AS39"/>
      <c r="AT39"/>
    </row>
    <row r="40" spans="1:46">
      <c r="A40" s="87" t="s">
        <v>98</v>
      </c>
      <c r="B40" s="87" t="s">
        <v>105</v>
      </c>
      <c r="C40" s="87" t="s">
        <v>164</v>
      </c>
      <c r="D40" s="87" t="s">
        <v>142</v>
      </c>
      <c r="E40" s="87" t="s">
        <v>114</v>
      </c>
      <c r="F40" s="87" t="s">
        <v>98</v>
      </c>
      <c r="G40" s="87" t="s">
        <v>108</v>
      </c>
      <c r="H40" s="87" t="s">
        <v>165</v>
      </c>
      <c r="I40" s="87">
        <v>45000</v>
      </c>
      <c r="J40" s="87"/>
      <c r="K40" s="87">
        <v>45000</v>
      </c>
      <c r="L40" s="87"/>
      <c r="M40" s="87"/>
      <c r="N40" s="89"/>
      <c r="O40" s="89"/>
      <c r="P40" s="89"/>
      <c r="Q40" s="89"/>
      <c r="R40" s="89"/>
      <c r="S40" s="143"/>
      <c r="T40" s="143"/>
      <c r="U40" s="143"/>
      <c r="V40" s="89"/>
      <c r="W40" s="53"/>
      <c r="X40" s="53"/>
      <c r="Y40" s="53"/>
      <c r="Z40" s="53"/>
      <c r="AE40"/>
      <c r="AF40"/>
      <c r="AG40"/>
      <c r="AH40"/>
      <c r="AI40"/>
      <c r="AJ40"/>
      <c r="AK40"/>
      <c r="AL40"/>
      <c r="AM40"/>
      <c r="AN40"/>
      <c r="AO40"/>
      <c r="AP40"/>
      <c r="AQ40"/>
      <c r="AR40"/>
      <c r="AS40"/>
      <c r="AT40"/>
    </row>
    <row r="41" spans="1:46">
      <c r="A41" s="87" t="s">
        <v>98</v>
      </c>
      <c r="B41" s="87" t="s">
        <v>105</v>
      </c>
      <c r="C41" s="87" t="s">
        <v>166</v>
      </c>
      <c r="D41" s="87" t="s">
        <v>107</v>
      </c>
      <c r="E41" s="87" t="s">
        <v>114</v>
      </c>
      <c r="F41" s="87" t="s">
        <v>98</v>
      </c>
      <c r="G41" s="87" t="s">
        <v>117</v>
      </c>
      <c r="H41" s="87" t="s">
        <v>167</v>
      </c>
      <c r="I41" s="87">
        <v>141056</v>
      </c>
      <c r="J41" s="87"/>
      <c r="K41" s="87">
        <v>141056</v>
      </c>
      <c r="L41" s="87"/>
      <c r="M41" s="87"/>
      <c r="N41" s="89"/>
      <c r="O41" s="89"/>
      <c r="P41" s="89"/>
      <c r="Q41" s="89"/>
      <c r="R41" s="89"/>
      <c r="S41" s="143"/>
      <c r="T41" s="143"/>
      <c r="U41" s="143"/>
      <c r="V41" s="89"/>
      <c r="W41" s="53"/>
      <c r="X41" s="53"/>
      <c r="Y41" s="53"/>
      <c r="Z41" s="53"/>
      <c r="AE41"/>
      <c r="AF41"/>
      <c r="AG41"/>
      <c r="AH41"/>
      <c r="AI41"/>
      <c r="AJ41"/>
      <c r="AK41"/>
      <c r="AL41"/>
      <c r="AM41"/>
      <c r="AN41"/>
      <c r="AO41"/>
      <c r="AP41"/>
      <c r="AQ41"/>
      <c r="AR41"/>
      <c r="AS41"/>
      <c r="AT41"/>
    </row>
    <row r="42" spans="1:46">
      <c r="A42" s="87" t="s">
        <v>98</v>
      </c>
      <c r="B42" s="87" t="s">
        <v>101</v>
      </c>
      <c r="C42" s="87" t="s">
        <v>168</v>
      </c>
      <c r="D42" s="87" t="s">
        <v>114</v>
      </c>
      <c r="E42" s="87" t="s">
        <v>90</v>
      </c>
      <c r="F42" s="87" t="s">
        <v>98</v>
      </c>
      <c r="G42" s="87" t="s">
        <v>169</v>
      </c>
      <c r="H42" s="87" t="s">
        <v>170</v>
      </c>
      <c r="I42" s="87">
        <v>-291818</v>
      </c>
      <c r="J42" s="87"/>
      <c r="K42" s="87"/>
      <c r="L42" s="87"/>
      <c r="M42" s="87"/>
      <c r="N42" s="89"/>
      <c r="O42" s="89"/>
      <c r="P42" s="89"/>
      <c r="Q42" s="89"/>
      <c r="R42" s="89">
        <v>-291818</v>
      </c>
      <c r="S42" s="143"/>
      <c r="T42" s="143"/>
      <c r="U42" s="143"/>
      <c r="V42" s="89"/>
      <c r="W42" s="53"/>
      <c r="X42" s="53"/>
      <c r="Y42" s="53"/>
      <c r="Z42" s="53"/>
      <c r="AE42"/>
      <c r="AF42"/>
      <c r="AG42"/>
      <c r="AH42"/>
      <c r="AI42"/>
      <c r="AJ42"/>
      <c r="AK42"/>
      <c r="AL42"/>
      <c r="AM42"/>
      <c r="AN42"/>
      <c r="AO42"/>
      <c r="AP42"/>
      <c r="AQ42"/>
      <c r="AR42"/>
      <c r="AS42"/>
      <c r="AT42"/>
    </row>
    <row r="43" spans="1:46">
      <c r="A43" s="87" t="s">
        <v>99</v>
      </c>
      <c r="B43" s="87" t="s">
        <v>88</v>
      </c>
      <c r="C43" s="87" t="s">
        <v>183</v>
      </c>
      <c r="D43" s="87" t="s">
        <v>114</v>
      </c>
      <c r="E43" s="87" t="s">
        <v>90</v>
      </c>
      <c r="F43" s="87" t="s">
        <v>92</v>
      </c>
      <c r="G43" s="87" t="s">
        <v>184</v>
      </c>
      <c r="H43" s="87" t="s">
        <v>185</v>
      </c>
      <c r="I43" s="87">
        <v>-1168591</v>
      </c>
      <c r="J43" s="87"/>
      <c r="K43" s="87"/>
      <c r="L43" s="87"/>
      <c r="M43" s="87"/>
      <c r="N43" s="89"/>
      <c r="O43" s="89"/>
      <c r="P43" s="89"/>
      <c r="Q43" s="89"/>
      <c r="R43" s="89">
        <v>-1168591</v>
      </c>
      <c r="S43" s="143"/>
      <c r="T43" s="143"/>
      <c r="U43" s="143"/>
      <c r="V43" s="89"/>
      <c r="W43" s="53"/>
      <c r="X43" s="53"/>
      <c r="Y43" s="53"/>
      <c r="Z43" s="53"/>
      <c r="AE43"/>
      <c r="AF43"/>
      <c r="AG43"/>
      <c r="AH43"/>
      <c r="AI43"/>
      <c r="AJ43"/>
      <c r="AK43"/>
      <c r="AL43"/>
      <c r="AM43"/>
      <c r="AN43"/>
      <c r="AO43"/>
      <c r="AP43"/>
      <c r="AQ43"/>
      <c r="AR43"/>
      <c r="AS43"/>
      <c r="AT43"/>
    </row>
    <row r="44" spans="1:46">
      <c r="A44" s="87" t="s">
        <v>99</v>
      </c>
      <c r="B44" s="87" t="s">
        <v>88</v>
      </c>
      <c r="C44" s="87" t="s">
        <v>186</v>
      </c>
      <c r="D44" s="87" t="s">
        <v>114</v>
      </c>
      <c r="E44" s="87" t="s">
        <v>90</v>
      </c>
      <c r="F44" s="87" t="s">
        <v>92</v>
      </c>
      <c r="G44" s="87" t="s">
        <v>184</v>
      </c>
      <c r="H44" s="87" t="s">
        <v>185</v>
      </c>
      <c r="I44" s="87">
        <v>-186713.57</v>
      </c>
      <c r="J44" s="87"/>
      <c r="K44" s="87"/>
      <c r="L44" s="87"/>
      <c r="M44" s="87"/>
      <c r="N44" s="89"/>
      <c r="O44" s="89"/>
      <c r="P44" s="89"/>
      <c r="Q44" s="89"/>
      <c r="R44" s="89">
        <v>-186713.57</v>
      </c>
      <c r="S44" s="143"/>
      <c r="T44" s="143"/>
      <c r="U44" s="143"/>
      <c r="V44" s="89"/>
      <c r="W44" s="53"/>
      <c r="X44" s="53"/>
      <c r="Y44" s="53"/>
      <c r="Z44" s="53"/>
      <c r="AE44"/>
      <c r="AF44"/>
      <c r="AG44"/>
      <c r="AH44"/>
      <c r="AI44"/>
      <c r="AJ44"/>
      <c r="AK44"/>
      <c r="AL44"/>
      <c r="AM44"/>
      <c r="AN44"/>
      <c r="AO44"/>
      <c r="AP44"/>
      <c r="AQ44"/>
      <c r="AR44"/>
      <c r="AS44"/>
      <c r="AT44"/>
    </row>
    <row r="45" spans="1:46">
      <c r="A45" s="87" t="s">
        <v>99</v>
      </c>
      <c r="B45" s="87" t="s">
        <v>89</v>
      </c>
      <c r="C45" s="87" t="s">
        <v>138</v>
      </c>
      <c r="D45" s="87" t="s">
        <v>106</v>
      </c>
      <c r="E45" s="87" t="s">
        <v>114</v>
      </c>
      <c r="F45" s="87" t="s">
        <v>99</v>
      </c>
      <c r="G45" s="87"/>
      <c r="H45" s="87" t="s">
        <v>140</v>
      </c>
      <c r="I45" s="87">
        <v>480698</v>
      </c>
      <c r="J45" s="87"/>
      <c r="K45" s="87"/>
      <c r="L45" s="87"/>
      <c r="M45" s="87"/>
      <c r="N45" s="89"/>
      <c r="O45" s="89"/>
      <c r="P45" s="89"/>
      <c r="Q45" s="89"/>
      <c r="R45" s="89">
        <v>480698</v>
      </c>
      <c r="S45" s="143"/>
      <c r="T45" s="143"/>
      <c r="U45" s="143"/>
      <c r="V45" s="89"/>
      <c r="W45" s="53"/>
      <c r="X45" s="53"/>
      <c r="Y45" s="53"/>
      <c r="Z45" s="53"/>
      <c r="AE45"/>
      <c r="AF45"/>
      <c r="AG45"/>
      <c r="AH45"/>
      <c r="AI45"/>
      <c r="AJ45"/>
      <c r="AK45"/>
      <c r="AL45"/>
      <c r="AM45"/>
      <c r="AN45"/>
      <c r="AO45"/>
      <c r="AP45"/>
      <c r="AQ45"/>
      <c r="AR45"/>
      <c r="AS45"/>
      <c r="AT45"/>
    </row>
    <row r="46" spans="1:46">
      <c r="A46" s="87" t="s">
        <v>99</v>
      </c>
      <c r="B46" s="87" t="s">
        <v>89</v>
      </c>
      <c r="C46" s="87" t="s">
        <v>113</v>
      </c>
      <c r="D46" s="87" t="s">
        <v>110</v>
      </c>
      <c r="E46" s="87" t="s">
        <v>114</v>
      </c>
      <c r="F46" s="87" t="s">
        <v>99</v>
      </c>
      <c r="G46" s="87" t="s">
        <v>115</v>
      </c>
      <c r="H46" s="87" t="s">
        <v>116</v>
      </c>
      <c r="I46" s="87">
        <v>643000</v>
      </c>
      <c r="J46" s="87"/>
      <c r="K46" s="87"/>
      <c r="L46" s="87"/>
      <c r="M46" s="87"/>
      <c r="N46" s="89"/>
      <c r="O46" s="89">
        <v>643000</v>
      </c>
      <c r="P46" s="89"/>
      <c r="Q46" s="89"/>
      <c r="R46" s="89"/>
      <c r="S46" s="143"/>
      <c r="T46" s="143"/>
      <c r="U46" s="143"/>
      <c r="V46" s="89"/>
      <c r="W46" s="53"/>
      <c r="X46" s="53"/>
      <c r="Y46" s="53"/>
      <c r="Z46" s="53"/>
      <c r="AE46"/>
      <c r="AF46"/>
      <c r="AG46"/>
      <c r="AH46"/>
      <c r="AI46"/>
      <c r="AJ46"/>
      <c r="AK46"/>
      <c r="AL46"/>
      <c r="AM46"/>
      <c r="AN46"/>
      <c r="AO46"/>
      <c r="AP46"/>
      <c r="AQ46"/>
      <c r="AR46"/>
      <c r="AS46"/>
      <c r="AT46"/>
    </row>
    <row r="47" spans="1:46">
      <c r="A47" s="87" t="s">
        <v>99</v>
      </c>
      <c r="B47" s="87" t="s">
        <v>89</v>
      </c>
      <c r="C47" s="87" t="s">
        <v>162</v>
      </c>
      <c r="D47" s="87" t="s">
        <v>111</v>
      </c>
      <c r="E47" s="87" t="s">
        <v>114</v>
      </c>
      <c r="F47" s="87" t="s">
        <v>99</v>
      </c>
      <c r="G47" s="87" t="s">
        <v>160</v>
      </c>
      <c r="H47" s="87" t="s">
        <v>163</v>
      </c>
      <c r="I47" s="87">
        <v>151000</v>
      </c>
      <c r="J47" s="87"/>
      <c r="K47" s="87"/>
      <c r="L47" s="87"/>
      <c r="M47" s="87"/>
      <c r="N47" s="89"/>
      <c r="O47" s="89"/>
      <c r="P47" s="89"/>
      <c r="Q47" s="89"/>
      <c r="R47" s="89">
        <v>151000</v>
      </c>
      <c r="S47" s="143"/>
      <c r="T47" s="143"/>
      <c r="U47" s="143"/>
      <c r="V47" s="89"/>
      <c r="W47" s="53"/>
      <c r="X47" s="53"/>
      <c r="Y47" s="53"/>
      <c r="Z47" s="53"/>
      <c r="AE47"/>
      <c r="AF47"/>
      <c r="AG47"/>
      <c r="AH47"/>
      <c r="AI47"/>
      <c r="AJ47"/>
      <c r="AK47"/>
      <c r="AL47"/>
      <c r="AM47"/>
      <c r="AN47"/>
      <c r="AO47"/>
      <c r="AP47"/>
      <c r="AQ47"/>
      <c r="AR47"/>
      <c r="AS47"/>
      <c r="AT47"/>
    </row>
    <row r="48" spans="1:46">
      <c r="A48" s="87" t="s">
        <v>99</v>
      </c>
      <c r="B48" s="87" t="s">
        <v>105</v>
      </c>
      <c r="C48" s="87" t="s">
        <v>187</v>
      </c>
      <c r="D48" s="87" t="s">
        <v>90</v>
      </c>
      <c r="E48" s="87" t="s">
        <v>114</v>
      </c>
      <c r="F48" s="87" t="s">
        <v>99</v>
      </c>
      <c r="G48" s="87" t="s">
        <v>176</v>
      </c>
      <c r="H48" s="87" t="s">
        <v>188</v>
      </c>
      <c r="I48" s="87">
        <v>1060338</v>
      </c>
      <c r="J48" s="87">
        <v>1060338</v>
      </c>
      <c r="K48" s="87"/>
      <c r="L48" s="87"/>
      <c r="M48" s="87"/>
      <c r="N48" s="89"/>
      <c r="O48" s="89"/>
      <c r="P48" s="89"/>
      <c r="Q48" s="89"/>
      <c r="R48" s="89"/>
      <c r="S48" s="143"/>
      <c r="T48" s="143"/>
      <c r="U48" s="143"/>
      <c r="V48" s="89"/>
      <c r="W48" s="53"/>
      <c r="X48" s="53"/>
      <c r="Y48" s="53"/>
      <c r="Z48" s="53"/>
      <c r="AE48"/>
      <c r="AF48"/>
      <c r="AG48"/>
      <c r="AH48"/>
      <c r="AI48"/>
      <c r="AJ48"/>
      <c r="AK48"/>
      <c r="AL48"/>
      <c r="AM48"/>
      <c r="AN48"/>
      <c r="AO48"/>
      <c r="AP48"/>
      <c r="AQ48"/>
      <c r="AR48"/>
      <c r="AS48"/>
      <c r="AT48"/>
    </row>
    <row r="49" spans="1:46">
      <c r="A49" s="87" t="s">
        <v>99</v>
      </c>
      <c r="B49" s="87" t="s">
        <v>105</v>
      </c>
      <c r="C49" s="87" t="s">
        <v>194</v>
      </c>
      <c r="D49" s="87" t="s">
        <v>90</v>
      </c>
      <c r="E49" s="87" t="s">
        <v>114</v>
      </c>
      <c r="F49" s="87" t="s">
        <v>99</v>
      </c>
      <c r="G49" s="87" t="s">
        <v>182</v>
      </c>
      <c r="H49" s="87" t="s">
        <v>188</v>
      </c>
      <c r="I49" s="87">
        <v>140510</v>
      </c>
      <c r="J49" s="87">
        <v>140510</v>
      </c>
      <c r="K49" s="87"/>
      <c r="L49" s="87"/>
      <c r="M49" s="87"/>
      <c r="N49" s="89"/>
      <c r="O49" s="89"/>
      <c r="P49" s="89"/>
      <c r="Q49" s="89"/>
      <c r="R49" s="89"/>
      <c r="S49" s="143"/>
      <c r="T49" s="143"/>
      <c r="U49" s="143"/>
      <c r="V49" s="89"/>
      <c r="W49" s="53"/>
      <c r="X49" s="53"/>
      <c r="Y49" s="53"/>
      <c r="Z49" s="53"/>
      <c r="AE49"/>
      <c r="AF49"/>
      <c r="AG49"/>
      <c r="AH49"/>
      <c r="AI49"/>
      <c r="AJ49"/>
      <c r="AK49"/>
      <c r="AL49"/>
      <c r="AM49"/>
      <c r="AN49"/>
      <c r="AO49"/>
      <c r="AP49"/>
      <c r="AQ49"/>
      <c r="AR49"/>
      <c r="AS49"/>
      <c r="AT49"/>
    </row>
    <row r="50" spans="1:46">
      <c r="A50" s="87" t="s">
        <v>99</v>
      </c>
      <c r="B50" s="87" t="s">
        <v>101</v>
      </c>
      <c r="C50" s="87" t="s">
        <v>187</v>
      </c>
      <c r="D50" s="87" t="s">
        <v>114</v>
      </c>
      <c r="E50" s="87" t="s">
        <v>90</v>
      </c>
      <c r="F50" s="87" t="s">
        <v>99</v>
      </c>
      <c r="G50" s="87" t="s">
        <v>176</v>
      </c>
      <c r="H50" s="87" t="s">
        <v>189</v>
      </c>
      <c r="I50" s="87">
        <v>-1178153</v>
      </c>
      <c r="J50" s="87"/>
      <c r="K50" s="87"/>
      <c r="L50" s="87"/>
      <c r="M50" s="87"/>
      <c r="N50" s="89"/>
      <c r="O50" s="89">
        <v>-1178153</v>
      </c>
      <c r="P50" s="89"/>
      <c r="Q50" s="89"/>
      <c r="R50" s="89"/>
      <c r="S50" s="143"/>
      <c r="T50" s="143"/>
      <c r="U50" s="143"/>
      <c r="V50" s="89"/>
      <c r="W50" s="53"/>
      <c r="X50" s="53"/>
      <c r="Y50" s="53"/>
      <c r="Z50" s="53"/>
      <c r="AE50"/>
      <c r="AF50"/>
      <c r="AG50"/>
      <c r="AH50"/>
      <c r="AI50"/>
      <c r="AJ50"/>
      <c r="AK50"/>
      <c r="AL50"/>
      <c r="AM50"/>
      <c r="AN50"/>
      <c r="AO50"/>
      <c r="AP50"/>
      <c r="AQ50"/>
      <c r="AR50"/>
      <c r="AS50"/>
      <c r="AT50"/>
    </row>
    <row r="51" spans="1:46">
      <c r="A51" s="16" t="s">
        <v>99</v>
      </c>
      <c r="B51" s="16" t="s">
        <v>101</v>
      </c>
      <c r="C51" s="16" t="s">
        <v>194</v>
      </c>
      <c r="D51" s="16" t="s">
        <v>114</v>
      </c>
      <c r="E51" s="16" t="s">
        <v>90</v>
      </c>
      <c r="F51" s="16" t="s">
        <v>99</v>
      </c>
      <c r="G51" s="16" t="s">
        <v>182</v>
      </c>
      <c r="H51" s="16" t="s">
        <v>189</v>
      </c>
      <c r="I51" s="16">
        <v>-156122</v>
      </c>
      <c r="O51" s="16">
        <v>-156122</v>
      </c>
      <c r="S51" s="143"/>
      <c r="T51" s="143"/>
      <c r="U51" s="143"/>
      <c r="V51" s="89"/>
      <c r="W51" s="53"/>
      <c r="X51" s="53"/>
      <c r="Y51" s="53"/>
      <c r="Z51" s="53"/>
      <c r="AE51"/>
      <c r="AF51"/>
      <c r="AG51"/>
      <c r="AH51"/>
      <c r="AI51"/>
      <c r="AJ51"/>
      <c r="AK51"/>
      <c r="AL51"/>
      <c r="AM51"/>
      <c r="AN51"/>
      <c r="AO51"/>
      <c r="AP51"/>
      <c r="AQ51"/>
      <c r="AR51"/>
      <c r="AS51"/>
      <c r="AT51"/>
    </row>
    <row r="52" spans="1:46">
      <c r="A52" s="16" t="s">
        <v>99</v>
      </c>
      <c r="B52" s="16" t="s">
        <v>101</v>
      </c>
      <c r="C52" s="16" t="s">
        <v>171</v>
      </c>
      <c r="D52" s="16" t="s">
        <v>114</v>
      </c>
      <c r="E52" s="16" t="s">
        <v>90</v>
      </c>
      <c r="F52" s="16" t="s">
        <v>99</v>
      </c>
      <c r="G52" s="16" t="s">
        <v>172</v>
      </c>
      <c r="H52" s="16" t="s">
        <v>170</v>
      </c>
      <c r="I52" s="16">
        <v>-143805</v>
      </c>
      <c r="R52" s="16">
        <v>-143805</v>
      </c>
      <c r="S52" s="143"/>
      <c r="T52" s="143"/>
      <c r="U52" s="143"/>
      <c r="V52" s="89"/>
      <c r="W52" s="53"/>
      <c r="X52" s="53"/>
      <c r="Y52" s="53"/>
      <c r="Z52" s="53"/>
      <c r="AE52"/>
      <c r="AF52"/>
      <c r="AG52"/>
      <c r="AH52"/>
      <c r="AI52"/>
      <c r="AJ52"/>
      <c r="AK52"/>
      <c r="AL52"/>
      <c r="AM52"/>
      <c r="AN52"/>
      <c r="AO52"/>
      <c r="AP52"/>
      <c r="AQ52"/>
      <c r="AR52"/>
      <c r="AS52"/>
      <c r="AT52"/>
    </row>
    <row r="53" spans="1:46">
      <c r="A53" s="90" t="s">
        <v>99</v>
      </c>
      <c r="B53" s="90" t="s">
        <v>101</v>
      </c>
      <c r="C53" s="90" t="s">
        <v>173</v>
      </c>
      <c r="D53" s="90" t="s">
        <v>114</v>
      </c>
      <c r="E53" s="90" t="s">
        <v>90</v>
      </c>
      <c r="F53" s="90" t="s">
        <v>99</v>
      </c>
      <c r="G53" s="90" t="s">
        <v>174</v>
      </c>
      <c r="H53" s="90" t="s">
        <v>170</v>
      </c>
      <c r="I53" s="90">
        <v>-239469</v>
      </c>
      <c r="J53" s="90"/>
      <c r="K53" s="90"/>
      <c r="L53" s="90"/>
      <c r="M53" s="90"/>
      <c r="N53" s="90"/>
      <c r="O53" s="90"/>
      <c r="P53" s="90"/>
      <c r="Q53" s="90"/>
      <c r="R53" s="90">
        <v>-239469</v>
      </c>
      <c r="S53" s="143"/>
      <c r="T53" s="143"/>
      <c r="U53" s="143"/>
      <c r="V53" s="89"/>
      <c r="W53" s="53"/>
      <c r="X53" s="53"/>
      <c r="Y53" s="53"/>
      <c r="Z53" s="53"/>
      <c r="AE53"/>
      <c r="AF53"/>
      <c r="AG53"/>
      <c r="AH53"/>
      <c r="AI53"/>
      <c r="AJ53"/>
      <c r="AK53"/>
      <c r="AL53"/>
      <c r="AM53"/>
      <c r="AN53"/>
      <c r="AO53"/>
      <c r="AP53"/>
      <c r="AQ53"/>
      <c r="AR53"/>
      <c r="AS53"/>
      <c r="AT53"/>
    </row>
    <row r="54" spans="1:46">
      <c r="A54" s="90" t="s">
        <v>92</v>
      </c>
      <c r="B54" s="90" t="s">
        <v>88</v>
      </c>
      <c r="C54" s="90" t="s">
        <v>195</v>
      </c>
      <c r="D54" s="90" t="s">
        <v>114</v>
      </c>
      <c r="E54" s="90" t="s">
        <v>90</v>
      </c>
      <c r="F54" s="90" t="s">
        <v>196</v>
      </c>
      <c r="G54" s="90" t="s">
        <v>197</v>
      </c>
      <c r="H54" s="90" t="s">
        <v>198</v>
      </c>
      <c r="I54" s="90">
        <v>-315000</v>
      </c>
      <c r="J54" s="90"/>
      <c r="K54" s="90"/>
      <c r="L54" s="90"/>
      <c r="M54" s="90"/>
      <c r="N54" s="90">
        <v>-315000</v>
      </c>
      <c r="O54" s="90"/>
      <c r="P54" s="90"/>
      <c r="Q54" s="90"/>
      <c r="R54" s="90"/>
      <c r="S54" s="143"/>
      <c r="T54" s="143"/>
      <c r="U54" s="143"/>
      <c r="V54" s="89"/>
      <c r="W54" s="53"/>
      <c r="X54" s="53"/>
      <c r="Y54" s="53"/>
      <c r="Z54" s="53"/>
      <c r="AE54"/>
      <c r="AF54"/>
      <c r="AG54"/>
      <c r="AH54"/>
      <c r="AI54"/>
      <c r="AJ54"/>
      <c r="AK54"/>
      <c r="AL54"/>
      <c r="AM54"/>
      <c r="AN54"/>
      <c r="AO54"/>
      <c r="AP54"/>
      <c r="AQ54"/>
      <c r="AR54"/>
      <c r="AS54"/>
      <c r="AT54"/>
    </row>
    <row r="55" spans="1:46">
      <c r="A55" s="91" t="s">
        <v>92</v>
      </c>
      <c r="B55" s="91" t="s">
        <v>88</v>
      </c>
      <c r="C55" s="91" t="s">
        <v>207</v>
      </c>
      <c r="D55" s="91" t="s">
        <v>114</v>
      </c>
      <c r="E55" s="91" t="s">
        <v>90</v>
      </c>
      <c r="F55" s="91" t="s">
        <v>191</v>
      </c>
      <c r="G55" s="91" t="s">
        <v>208</v>
      </c>
      <c r="H55" s="91" t="s">
        <v>185</v>
      </c>
      <c r="I55" s="91">
        <v>-95396.99</v>
      </c>
      <c r="J55" s="91"/>
      <c r="K55" s="91"/>
      <c r="L55" s="91"/>
      <c r="M55" s="91"/>
      <c r="N55" s="91">
        <v>-95396.99</v>
      </c>
      <c r="O55" s="91"/>
      <c r="P55" s="91"/>
      <c r="Q55" s="91"/>
      <c r="R55" s="91"/>
      <c r="S55" s="143"/>
      <c r="T55" s="143"/>
      <c r="U55" s="143"/>
      <c r="V55" s="89"/>
      <c r="W55" s="53"/>
      <c r="X55" s="53"/>
      <c r="Y55" s="53"/>
      <c r="Z55" s="53"/>
      <c r="AE55"/>
      <c r="AF55"/>
      <c r="AG55"/>
      <c r="AH55"/>
      <c r="AI55"/>
      <c r="AJ55"/>
      <c r="AK55"/>
      <c r="AL55"/>
      <c r="AM55"/>
      <c r="AN55"/>
      <c r="AO55"/>
      <c r="AP55"/>
      <c r="AQ55"/>
      <c r="AR55"/>
      <c r="AS55"/>
      <c r="AT55"/>
    </row>
    <row r="56" spans="1:46">
      <c r="A56" s="91" t="s">
        <v>92</v>
      </c>
      <c r="B56" s="91" t="s">
        <v>88</v>
      </c>
      <c r="C56" s="94" t="s">
        <v>190</v>
      </c>
      <c r="D56" s="91" t="s">
        <v>114</v>
      </c>
      <c r="E56" s="91" t="s">
        <v>93</v>
      </c>
      <c r="F56" s="91" t="s">
        <v>191</v>
      </c>
      <c r="G56" s="91" t="s">
        <v>192</v>
      </c>
      <c r="H56" s="91" t="s">
        <v>193</v>
      </c>
      <c r="I56" s="94">
        <v>-375000</v>
      </c>
      <c r="J56" s="91"/>
      <c r="K56" s="91"/>
      <c r="L56" s="91"/>
      <c r="M56" s="91"/>
      <c r="N56" s="91">
        <v>-375000</v>
      </c>
      <c r="O56" s="91"/>
      <c r="P56" s="91"/>
      <c r="Q56" s="91"/>
      <c r="R56" s="91"/>
      <c r="S56" s="143"/>
      <c r="T56" s="143"/>
      <c r="U56" s="143"/>
      <c r="V56" s="89"/>
      <c r="W56" s="53"/>
      <c r="X56" s="53"/>
      <c r="Y56" s="53"/>
      <c r="Z56" s="53"/>
      <c r="AE56"/>
      <c r="AF56"/>
      <c r="AG56"/>
      <c r="AH56"/>
      <c r="AI56"/>
      <c r="AJ56"/>
      <c r="AK56"/>
      <c r="AL56"/>
      <c r="AM56"/>
      <c r="AN56"/>
      <c r="AO56"/>
      <c r="AP56"/>
      <c r="AQ56"/>
      <c r="AR56"/>
      <c r="AS56"/>
      <c r="AT56"/>
    </row>
    <row r="57" spans="1:46">
      <c r="A57" s="91" t="s">
        <v>92</v>
      </c>
      <c r="B57" s="91" t="s">
        <v>89</v>
      </c>
      <c r="C57" s="94" t="s">
        <v>138</v>
      </c>
      <c r="D57" s="91" t="s">
        <v>106</v>
      </c>
      <c r="E57" s="91" t="s">
        <v>114</v>
      </c>
      <c r="F57" s="91" t="s">
        <v>92</v>
      </c>
      <c r="G57" s="91"/>
      <c r="H57" s="91" t="s">
        <v>140</v>
      </c>
      <c r="I57" s="94">
        <v>571500</v>
      </c>
      <c r="J57" s="91"/>
      <c r="K57" s="91"/>
      <c r="L57" s="91"/>
      <c r="M57" s="91"/>
      <c r="N57" s="91"/>
      <c r="O57" s="91">
        <v>571500</v>
      </c>
      <c r="P57" s="91"/>
      <c r="Q57" s="91"/>
      <c r="R57" s="91"/>
      <c r="S57" s="143"/>
      <c r="T57" s="143"/>
      <c r="U57" s="143"/>
      <c r="V57" s="89"/>
      <c r="W57" s="53"/>
      <c r="X57" s="53"/>
      <c r="Y57" s="53"/>
      <c r="Z57" s="53"/>
      <c r="AE57"/>
      <c r="AF57"/>
      <c r="AG57"/>
      <c r="AH57"/>
      <c r="AI57"/>
      <c r="AJ57"/>
      <c r="AK57"/>
      <c r="AL57"/>
      <c r="AM57"/>
      <c r="AN57"/>
      <c r="AO57"/>
      <c r="AP57"/>
      <c r="AQ57"/>
      <c r="AR57"/>
      <c r="AS57"/>
      <c r="AT57"/>
    </row>
    <row r="58" spans="1:46">
      <c r="A58" s="91" t="s">
        <v>92</v>
      </c>
      <c r="B58" s="91" t="s">
        <v>89</v>
      </c>
      <c r="C58" s="94" t="s">
        <v>147</v>
      </c>
      <c r="D58" s="91" t="s">
        <v>148</v>
      </c>
      <c r="E58" s="91" t="s">
        <v>114</v>
      </c>
      <c r="F58" s="91" t="s">
        <v>92</v>
      </c>
      <c r="G58" s="91"/>
      <c r="H58" s="91" t="s">
        <v>175</v>
      </c>
      <c r="I58" s="94">
        <v>185000</v>
      </c>
      <c r="J58" s="91"/>
      <c r="K58" s="91"/>
      <c r="L58" s="91"/>
      <c r="M58" s="91"/>
      <c r="N58" s="91"/>
      <c r="O58" s="91">
        <v>185000</v>
      </c>
      <c r="P58" s="91"/>
      <c r="Q58" s="91"/>
      <c r="R58" s="91"/>
      <c r="S58" s="143"/>
      <c r="T58" s="143"/>
      <c r="U58" s="143"/>
      <c r="V58" s="89"/>
      <c r="W58" s="53"/>
      <c r="X58" s="53"/>
      <c r="Y58" s="53"/>
      <c r="Z58" s="53"/>
      <c r="AE58"/>
      <c r="AF58"/>
      <c r="AG58"/>
      <c r="AH58"/>
      <c r="AI58"/>
      <c r="AJ58"/>
      <c r="AK58"/>
      <c r="AL58"/>
      <c r="AM58"/>
      <c r="AN58"/>
      <c r="AO58"/>
      <c r="AP58"/>
      <c r="AQ58"/>
      <c r="AR58"/>
      <c r="AS58"/>
      <c r="AT58"/>
    </row>
    <row r="59" spans="1:46">
      <c r="A59" s="92" t="s">
        <v>92</v>
      </c>
      <c r="B59" s="92" t="s">
        <v>89</v>
      </c>
      <c r="C59" s="94" t="s">
        <v>183</v>
      </c>
      <c r="D59" s="92" t="s">
        <v>90</v>
      </c>
      <c r="E59" s="92" t="s">
        <v>114</v>
      </c>
      <c r="F59" s="92" t="s">
        <v>92</v>
      </c>
      <c r="G59" s="92" t="s">
        <v>184</v>
      </c>
      <c r="H59" s="92" t="s">
        <v>185</v>
      </c>
      <c r="I59" s="94">
        <v>1168591</v>
      </c>
      <c r="J59" s="92"/>
      <c r="K59" s="92"/>
      <c r="L59" s="92"/>
      <c r="M59" s="92"/>
      <c r="N59" s="92">
        <v>1168591</v>
      </c>
      <c r="O59" s="92"/>
      <c r="P59" s="92"/>
      <c r="Q59" s="92"/>
      <c r="R59" s="92"/>
      <c r="S59" s="143"/>
      <c r="T59" s="143"/>
      <c r="U59" s="143"/>
      <c r="V59" s="89"/>
      <c r="W59" s="53"/>
      <c r="X59" s="53"/>
      <c r="Y59" s="53"/>
      <c r="Z59" s="53"/>
      <c r="AE59"/>
      <c r="AF59"/>
      <c r="AG59"/>
      <c r="AH59"/>
      <c r="AI59"/>
      <c r="AJ59"/>
      <c r="AK59"/>
      <c r="AL59"/>
      <c r="AM59"/>
      <c r="AN59"/>
      <c r="AO59"/>
      <c r="AP59"/>
      <c r="AQ59"/>
      <c r="AR59"/>
      <c r="AS59"/>
      <c r="AT59"/>
    </row>
    <row r="60" spans="1:46">
      <c r="A60" s="92" t="s">
        <v>92</v>
      </c>
      <c r="B60" s="92" t="s">
        <v>89</v>
      </c>
      <c r="C60" s="94" t="s">
        <v>186</v>
      </c>
      <c r="D60" s="92" t="s">
        <v>90</v>
      </c>
      <c r="E60" s="92" t="s">
        <v>114</v>
      </c>
      <c r="F60" s="92" t="s">
        <v>92</v>
      </c>
      <c r="G60" s="92" t="s">
        <v>184</v>
      </c>
      <c r="H60" s="92" t="s">
        <v>185</v>
      </c>
      <c r="I60" s="94">
        <v>186713.57</v>
      </c>
      <c r="J60" s="92"/>
      <c r="K60" s="92"/>
      <c r="L60" s="92"/>
      <c r="M60" s="92"/>
      <c r="N60" s="92">
        <v>186713.57</v>
      </c>
      <c r="O60" s="92"/>
      <c r="P60" s="92"/>
      <c r="Q60" s="92"/>
      <c r="R60" s="92"/>
      <c r="S60" s="143"/>
      <c r="T60" s="143"/>
      <c r="U60" s="143"/>
      <c r="V60" s="89"/>
      <c r="W60" s="53"/>
      <c r="X60" s="53"/>
      <c r="Y60" s="53"/>
      <c r="Z60" s="53"/>
      <c r="AE60"/>
      <c r="AF60"/>
      <c r="AG60"/>
      <c r="AH60"/>
      <c r="AI60"/>
      <c r="AJ60"/>
      <c r="AK60"/>
      <c r="AL60"/>
      <c r="AM60"/>
      <c r="AN60"/>
      <c r="AO60"/>
      <c r="AP60"/>
      <c r="AQ60"/>
      <c r="AR60"/>
      <c r="AS60"/>
      <c r="AT60"/>
    </row>
    <row r="61" spans="1:46">
      <c r="A61" s="93" t="s">
        <v>92</v>
      </c>
      <c r="B61" s="93" t="s">
        <v>89</v>
      </c>
      <c r="C61" s="93" t="s">
        <v>159</v>
      </c>
      <c r="D61" s="93" t="s">
        <v>142</v>
      </c>
      <c r="E61" s="93" t="s">
        <v>114</v>
      </c>
      <c r="F61" s="93" t="s">
        <v>92</v>
      </c>
      <c r="G61" s="93" t="s">
        <v>160</v>
      </c>
      <c r="H61" s="93" t="s">
        <v>161</v>
      </c>
      <c r="I61" s="93">
        <v>650000</v>
      </c>
      <c r="J61" s="93"/>
      <c r="K61" s="93"/>
      <c r="L61" s="93"/>
      <c r="M61" s="93"/>
      <c r="N61" s="93">
        <v>650000</v>
      </c>
      <c r="O61" s="93"/>
      <c r="P61" s="93"/>
      <c r="Q61" s="93"/>
      <c r="R61" s="93"/>
      <c r="S61" s="143"/>
      <c r="T61" s="143"/>
      <c r="U61" s="143"/>
      <c r="V61" s="89"/>
      <c r="W61" s="53"/>
      <c r="X61" s="53"/>
      <c r="Y61" s="53"/>
      <c r="Z61" s="53"/>
      <c r="AE61"/>
      <c r="AF61"/>
      <c r="AG61"/>
      <c r="AH61"/>
      <c r="AI61"/>
      <c r="AJ61"/>
      <c r="AK61"/>
      <c r="AL61"/>
      <c r="AM61"/>
      <c r="AN61"/>
      <c r="AO61"/>
      <c r="AP61"/>
      <c r="AQ61"/>
      <c r="AR61"/>
      <c r="AS61"/>
      <c r="AT61"/>
    </row>
    <row r="62" spans="1:46">
      <c r="A62" s="93" t="s">
        <v>92</v>
      </c>
      <c r="B62" s="93" t="s">
        <v>105</v>
      </c>
      <c r="C62" s="93" t="s">
        <v>204</v>
      </c>
      <c r="D62" s="93" t="s">
        <v>90</v>
      </c>
      <c r="E62" s="93" t="s">
        <v>114</v>
      </c>
      <c r="F62" s="93" t="s">
        <v>92</v>
      </c>
      <c r="G62" s="93" t="s">
        <v>201</v>
      </c>
      <c r="H62" s="93" t="s">
        <v>188</v>
      </c>
      <c r="I62" s="93">
        <v>464000</v>
      </c>
      <c r="J62" s="93">
        <v>464000</v>
      </c>
      <c r="K62" s="93"/>
      <c r="L62" s="93"/>
      <c r="M62" s="93"/>
      <c r="N62" s="93"/>
      <c r="O62" s="93"/>
      <c r="P62" s="93"/>
      <c r="Q62" s="93"/>
      <c r="R62" s="93"/>
      <c r="S62" s="143"/>
      <c r="T62" s="143"/>
      <c r="U62" s="143"/>
      <c r="V62" s="89"/>
      <c r="W62" s="53"/>
      <c r="X62" s="53"/>
      <c r="Y62" s="53"/>
      <c r="Z62" s="53"/>
      <c r="AE62"/>
      <c r="AF62"/>
      <c r="AG62"/>
      <c r="AH62"/>
      <c r="AI62"/>
      <c r="AJ62"/>
      <c r="AK62"/>
      <c r="AL62"/>
      <c r="AM62"/>
      <c r="AN62"/>
      <c r="AO62"/>
      <c r="AP62"/>
      <c r="AQ62"/>
      <c r="AR62"/>
      <c r="AS62"/>
      <c r="AT62"/>
    </row>
    <row r="63" spans="1:46">
      <c r="A63" s="16" t="s">
        <v>92</v>
      </c>
      <c r="B63" s="16" t="s">
        <v>105</v>
      </c>
      <c r="C63" s="16" t="s">
        <v>206</v>
      </c>
      <c r="D63" s="16" t="s">
        <v>90</v>
      </c>
      <c r="E63" s="16" t="s">
        <v>114</v>
      </c>
      <c r="F63" s="16" t="s">
        <v>92</v>
      </c>
      <c r="G63" s="16" t="s">
        <v>202</v>
      </c>
      <c r="H63" s="16" t="s">
        <v>188</v>
      </c>
      <c r="I63" s="16">
        <v>856600</v>
      </c>
      <c r="J63" s="16">
        <v>856600</v>
      </c>
      <c r="S63" s="143"/>
      <c r="T63" s="143"/>
      <c r="U63" s="143"/>
      <c r="V63" s="89"/>
      <c r="W63" s="53"/>
      <c r="X63" s="53"/>
      <c r="Y63" s="53"/>
      <c r="Z63" s="53"/>
      <c r="AE63"/>
      <c r="AF63"/>
      <c r="AG63"/>
      <c r="AH63"/>
      <c r="AI63"/>
      <c r="AJ63"/>
      <c r="AK63"/>
      <c r="AL63"/>
      <c r="AM63"/>
      <c r="AN63"/>
      <c r="AO63"/>
      <c r="AP63"/>
      <c r="AQ63"/>
      <c r="AR63"/>
      <c r="AS63"/>
      <c r="AT63"/>
    </row>
    <row r="64" spans="1:46">
      <c r="A64" s="16" t="s">
        <v>92</v>
      </c>
      <c r="B64" s="16" t="s">
        <v>105</v>
      </c>
      <c r="C64" s="16" t="s">
        <v>206</v>
      </c>
      <c r="D64" s="16" t="s">
        <v>90</v>
      </c>
      <c r="E64" s="16" t="s">
        <v>114</v>
      </c>
      <c r="F64" s="16" t="s">
        <v>92</v>
      </c>
      <c r="G64" s="16" t="s">
        <v>205</v>
      </c>
      <c r="H64" s="16" t="s">
        <v>188</v>
      </c>
      <c r="I64" s="16">
        <v>701363</v>
      </c>
      <c r="J64" s="16">
        <v>701363</v>
      </c>
      <c r="S64" s="143"/>
      <c r="T64" s="143"/>
      <c r="U64" s="143"/>
      <c r="V64" s="89"/>
      <c r="W64" s="53"/>
      <c r="X64" s="53"/>
      <c r="Y64" s="53"/>
      <c r="Z64" s="53"/>
      <c r="AE64"/>
      <c r="AF64"/>
      <c r="AG64"/>
      <c r="AH64"/>
      <c r="AI64"/>
      <c r="AJ64"/>
      <c r="AK64"/>
      <c r="AL64"/>
      <c r="AM64"/>
      <c r="AN64"/>
      <c r="AO64"/>
      <c r="AP64"/>
      <c r="AQ64"/>
      <c r="AR64"/>
      <c r="AS64"/>
      <c r="AT64"/>
    </row>
    <row r="65" spans="1:46">
      <c r="A65" s="16" t="s">
        <v>92</v>
      </c>
      <c r="B65" s="16" t="s">
        <v>105</v>
      </c>
      <c r="C65" s="16" t="s">
        <v>209</v>
      </c>
      <c r="D65" s="16" t="s">
        <v>90</v>
      </c>
      <c r="E65" s="16" t="s">
        <v>114</v>
      </c>
      <c r="F65" s="16" t="s">
        <v>92</v>
      </c>
      <c r="G65" s="16" t="s">
        <v>202</v>
      </c>
      <c r="H65" s="16" t="s">
        <v>188</v>
      </c>
      <c r="I65" s="16">
        <v>195221</v>
      </c>
      <c r="J65" s="16">
        <v>195221</v>
      </c>
      <c r="S65" s="143"/>
      <c r="T65" s="143"/>
      <c r="U65" s="143"/>
      <c r="V65" s="89"/>
      <c r="W65" s="53"/>
      <c r="X65" s="53"/>
      <c r="Y65" s="53"/>
      <c r="Z65" s="53"/>
      <c r="AE65"/>
      <c r="AF65"/>
      <c r="AG65"/>
      <c r="AH65"/>
      <c r="AI65"/>
      <c r="AJ65"/>
      <c r="AK65"/>
      <c r="AL65"/>
      <c r="AM65"/>
      <c r="AN65"/>
      <c r="AO65"/>
      <c r="AP65"/>
      <c r="AQ65"/>
      <c r="AR65"/>
      <c r="AS65"/>
      <c r="AT65"/>
    </row>
    <row r="66" spans="1:46">
      <c r="A66" s="16" t="s">
        <v>92</v>
      </c>
      <c r="B66" s="16" t="s">
        <v>105</v>
      </c>
      <c r="C66" s="16" t="s">
        <v>210</v>
      </c>
      <c r="D66" s="16" t="s">
        <v>90</v>
      </c>
      <c r="E66" s="16" t="s">
        <v>114</v>
      </c>
      <c r="F66" s="16" t="s">
        <v>92</v>
      </c>
      <c r="G66" s="16" t="s">
        <v>203</v>
      </c>
      <c r="H66" s="16" t="s">
        <v>188</v>
      </c>
      <c r="I66" s="16">
        <v>482845</v>
      </c>
      <c r="J66" s="16">
        <v>482845</v>
      </c>
      <c r="S66" s="143"/>
      <c r="T66" s="143"/>
      <c r="U66" s="143"/>
      <c r="V66" s="89"/>
      <c r="W66" s="53"/>
      <c r="X66" s="53"/>
      <c r="Y66" s="53"/>
      <c r="Z66" s="53"/>
      <c r="AE66"/>
      <c r="AF66"/>
      <c r="AG66"/>
      <c r="AH66"/>
      <c r="AI66"/>
      <c r="AJ66"/>
      <c r="AK66"/>
      <c r="AL66"/>
      <c r="AM66"/>
      <c r="AN66"/>
      <c r="AO66"/>
      <c r="AP66"/>
      <c r="AQ66"/>
      <c r="AR66"/>
      <c r="AS66"/>
      <c r="AT66"/>
    </row>
    <row r="67" spans="1:46">
      <c r="A67" s="16" t="s">
        <v>92</v>
      </c>
      <c r="B67" s="16" t="s">
        <v>101</v>
      </c>
      <c r="C67" s="16" t="s">
        <v>204</v>
      </c>
      <c r="D67" s="16" t="s">
        <v>114</v>
      </c>
      <c r="E67" s="16" t="s">
        <v>90</v>
      </c>
      <c r="F67" s="16" t="s">
        <v>92</v>
      </c>
      <c r="G67" s="16" t="s">
        <v>201</v>
      </c>
      <c r="H67" s="16" t="s">
        <v>189</v>
      </c>
      <c r="I67" s="16">
        <v>-515556</v>
      </c>
      <c r="N67" s="16">
        <v>-515556</v>
      </c>
      <c r="S67" s="143"/>
      <c r="T67" s="143"/>
      <c r="U67" s="143"/>
      <c r="V67" s="89"/>
      <c r="W67" s="53"/>
      <c r="X67" s="53"/>
      <c r="Y67" s="53"/>
      <c r="Z67" s="53"/>
      <c r="AE67"/>
      <c r="AF67"/>
      <c r="AG67"/>
      <c r="AH67"/>
      <c r="AI67"/>
      <c r="AJ67"/>
      <c r="AK67"/>
      <c r="AL67"/>
      <c r="AM67"/>
      <c r="AN67"/>
      <c r="AO67"/>
      <c r="AP67"/>
      <c r="AQ67"/>
      <c r="AR67"/>
      <c r="AS67"/>
      <c r="AT67"/>
    </row>
    <row r="68" spans="1:46">
      <c r="A68" s="16" t="s">
        <v>92</v>
      </c>
      <c r="B68" s="16" t="s">
        <v>101</v>
      </c>
      <c r="C68" s="16" t="s">
        <v>206</v>
      </c>
      <c r="D68" s="16" t="s">
        <v>114</v>
      </c>
      <c r="E68" s="16" t="s">
        <v>90</v>
      </c>
      <c r="F68" s="16" t="s">
        <v>92</v>
      </c>
      <c r="G68" s="16" t="s">
        <v>202</v>
      </c>
      <c r="H68" s="16" t="s">
        <v>188</v>
      </c>
      <c r="I68" s="16">
        <v>-951778</v>
      </c>
      <c r="O68" s="16">
        <v>-951778</v>
      </c>
      <c r="S68" s="143"/>
      <c r="T68" s="143"/>
      <c r="U68" s="143"/>
      <c r="V68" s="89"/>
      <c r="W68" s="53"/>
      <c r="X68" s="53"/>
      <c r="Y68" s="53"/>
      <c r="Z68" s="53"/>
      <c r="AE68"/>
      <c r="AF68"/>
      <c r="AG68"/>
      <c r="AH68"/>
      <c r="AI68"/>
      <c r="AJ68"/>
      <c r="AK68"/>
      <c r="AL68"/>
      <c r="AM68"/>
      <c r="AN68"/>
      <c r="AO68"/>
      <c r="AP68"/>
      <c r="AQ68"/>
      <c r="AR68"/>
      <c r="AS68"/>
      <c r="AT68"/>
    </row>
    <row r="69" spans="1:46">
      <c r="A69" s="16" t="s">
        <v>92</v>
      </c>
      <c r="B69" s="16" t="s">
        <v>101</v>
      </c>
      <c r="C69" s="16" t="s">
        <v>206</v>
      </c>
      <c r="D69" s="16" t="s">
        <v>114</v>
      </c>
      <c r="E69" s="16" t="s">
        <v>90</v>
      </c>
      <c r="F69" s="16" t="s">
        <v>92</v>
      </c>
      <c r="G69" s="16" t="s">
        <v>205</v>
      </c>
      <c r="H69" s="16" t="s">
        <v>189</v>
      </c>
      <c r="I69" s="16">
        <v>-779292</v>
      </c>
      <c r="O69" s="16">
        <v>-779292</v>
      </c>
      <c r="S69" s="143"/>
      <c r="T69" s="143"/>
      <c r="U69" s="143"/>
      <c r="V69" s="89"/>
      <c r="W69" s="53"/>
      <c r="X69" s="53"/>
      <c r="Y69" s="53"/>
      <c r="Z69" s="53"/>
      <c r="AE69"/>
      <c r="AF69"/>
      <c r="AG69"/>
      <c r="AH69"/>
      <c r="AI69"/>
      <c r="AJ69"/>
      <c r="AK69"/>
      <c r="AL69"/>
      <c r="AM69"/>
      <c r="AN69"/>
      <c r="AO69"/>
      <c r="AP69"/>
      <c r="AQ69"/>
      <c r="AR69"/>
      <c r="AS69"/>
      <c r="AT69"/>
    </row>
    <row r="70" spans="1:46">
      <c r="A70" s="16" t="s">
        <v>92</v>
      </c>
      <c r="B70" s="16" t="s">
        <v>101</v>
      </c>
      <c r="C70" s="16" t="s">
        <v>209</v>
      </c>
      <c r="D70" s="16" t="s">
        <v>114</v>
      </c>
      <c r="E70" s="16" t="s">
        <v>90</v>
      </c>
      <c r="F70" s="16" t="s">
        <v>92</v>
      </c>
      <c r="G70" s="16" t="s">
        <v>202</v>
      </c>
      <c r="H70" s="16" t="s">
        <v>188</v>
      </c>
      <c r="I70" s="16">
        <v>-216913</v>
      </c>
      <c r="O70" s="16">
        <v>-216913</v>
      </c>
      <c r="S70" s="143"/>
      <c r="T70" s="143"/>
      <c r="U70" s="143"/>
      <c r="V70" s="89"/>
      <c r="W70" s="53"/>
      <c r="X70" s="53"/>
      <c r="Y70" s="53"/>
      <c r="Z70" s="53"/>
      <c r="AE70"/>
      <c r="AF70"/>
      <c r="AG70"/>
      <c r="AH70"/>
      <c r="AI70"/>
      <c r="AJ70"/>
      <c r="AK70"/>
      <c r="AL70"/>
      <c r="AM70"/>
      <c r="AN70"/>
      <c r="AO70"/>
      <c r="AP70"/>
      <c r="AQ70"/>
      <c r="AR70"/>
      <c r="AS70"/>
      <c r="AT70"/>
    </row>
    <row r="71" spans="1:46">
      <c r="A71" s="16" t="s">
        <v>92</v>
      </c>
      <c r="B71" s="16" t="s">
        <v>101</v>
      </c>
      <c r="C71" s="16" t="s">
        <v>210</v>
      </c>
      <c r="D71" s="16" t="s">
        <v>114</v>
      </c>
      <c r="E71" s="16" t="s">
        <v>90</v>
      </c>
      <c r="F71" s="16" t="s">
        <v>92</v>
      </c>
      <c r="G71" s="16" t="s">
        <v>203</v>
      </c>
      <c r="H71" s="16" t="s">
        <v>188</v>
      </c>
      <c r="I71" s="16">
        <v>-536495</v>
      </c>
      <c r="O71" s="16">
        <v>-536495</v>
      </c>
      <c r="S71" s="143"/>
      <c r="T71" s="143"/>
      <c r="U71" s="143"/>
      <c r="V71" s="89"/>
      <c r="W71" s="53"/>
      <c r="X71" s="53"/>
      <c r="Y71" s="53"/>
      <c r="Z71" s="53"/>
      <c r="AE71"/>
      <c r="AF71"/>
      <c r="AG71"/>
      <c r="AH71"/>
      <c r="AI71"/>
      <c r="AJ71"/>
      <c r="AK71"/>
      <c r="AL71"/>
      <c r="AM71"/>
      <c r="AN71"/>
      <c r="AO71"/>
      <c r="AP71"/>
      <c r="AQ71"/>
      <c r="AR71"/>
      <c r="AS71"/>
      <c r="AT71"/>
    </row>
    <row r="72" spans="1:46">
      <c r="A72" s="16" t="s">
        <v>191</v>
      </c>
      <c r="B72" s="16" t="s">
        <v>88</v>
      </c>
      <c r="C72" s="16" t="s">
        <v>214</v>
      </c>
      <c r="D72" s="16" t="s">
        <v>114</v>
      </c>
      <c r="E72" s="16" t="s">
        <v>90</v>
      </c>
      <c r="F72" s="16" t="s">
        <v>215</v>
      </c>
      <c r="G72" s="16" t="s">
        <v>216</v>
      </c>
      <c r="H72" s="16" t="s">
        <v>185</v>
      </c>
      <c r="I72" s="16">
        <v>-452961</v>
      </c>
      <c r="N72" s="16">
        <v>-452961</v>
      </c>
      <c r="S72" s="143"/>
      <c r="T72" s="143"/>
      <c r="U72" s="143"/>
      <c r="V72" s="89"/>
      <c r="W72" s="53"/>
      <c r="X72" s="53"/>
      <c r="Y72" s="53"/>
      <c r="Z72" s="53"/>
      <c r="AE72"/>
      <c r="AF72"/>
      <c r="AG72"/>
      <c r="AH72"/>
      <c r="AI72"/>
      <c r="AJ72"/>
      <c r="AK72"/>
      <c r="AL72"/>
      <c r="AM72"/>
      <c r="AN72"/>
      <c r="AO72"/>
      <c r="AP72"/>
      <c r="AQ72"/>
      <c r="AR72"/>
      <c r="AS72"/>
      <c r="AT72"/>
    </row>
    <row r="73" spans="1:46">
      <c r="A73" s="16" t="s">
        <v>191</v>
      </c>
      <c r="B73" s="16" t="s">
        <v>88</v>
      </c>
      <c r="C73" s="16" t="s">
        <v>217</v>
      </c>
      <c r="D73" s="16" t="s">
        <v>114</v>
      </c>
      <c r="E73" s="16" t="s">
        <v>90</v>
      </c>
      <c r="F73" s="16" t="s">
        <v>215</v>
      </c>
      <c r="G73" s="16" t="s">
        <v>218</v>
      </c>
      <c r="H73" s="16" t="s">
        <v>185</v>
      </c>
      <c r="I73" s="16">
        <v>-27347.66</v>
      </c>
      <c r="R73" s="16">
        <v>-27347.66</v>
      </c>
      <c r="S73" s="143"/>
      <c r="T73" s="143"/>
      <c r="U73" s="143"/>
      <c r="V73" s="89"/>
      <c r="W73" s="53"/>
      <c r="X73" s="53"/>
      <c r="Y73" s="53"/>
      <c r="Z73" s="53"/>
      <c r="AE73"/>
      <c r="AF73"/>
      <c r="AG73"/>
      <c r="AH73"/>
      <c r="AI73"/>
      <c r="AJ73"/>
      <c r="AK73"/>
      <c r="AL73"/>
      <c r="AM73"/>
      <c r="AN73"/>
      <c r="AO73"/>
      <c r="AP73"/>
      <c r="AQ73"/>
      <c r="AR73"/>
      <c r="AS73"/>
      <c r="AT73"/>
    </row>
    <row r="74" spans="1:46">
      <c r="A74" s="16" t="s">
        <v>191</v>
      </c>
      <c r="B74" s="16" t="s">
        <v>88</v>
      </c>
      <c r="C74" s="16" t="s">
        <v>219</v>
      </c>
      <c r="D74" s="16" t="s">
        <v>114</v>
      </c>
      <c r="E74" s="16" t="s">
        <v>90</v>
      </c>
      <c r="F74" s="16" t="s">
        <v>215</v>
      </c>
      <c r="G74" s="16" t="s">
        <v>218</v>
      </c>
      <c r="H74" s="16" t="s">
        <v>185</v>
      </c>
      <c r="I74" s="16">
        <v>-13608.69</v>
      </c>
      <c r="R74" s="16">
        <v>-13608.69</v>
      </c>
      <c r="S74" s="143"/>
      <c r="T74" s="143"/>
      <c r="U74" s="143"/>
      <c r="V74" s="89"/>
      <c r="W74" s="53"/>
      <c r="X74" s="53"/>
      <c r="Y74" s="53"/>
      <c r="Z74" s="53"/>
      <c r="AE74"/>
      <c r="AF74"/>
      <c r="AG74"/>
      <c r="AH74"/>
      <c r="AI74"/>
      <c r="AJ74"/>
      <c r="AK74"/>
      <c r="AL74"/>
      <c r="AM74"/>
      <c r="AN74"/>
      <c r="AO74"/>
      <c r="AP74"/>
      <c r="AQ74"/>
      <c r="AR74"/>
      <c r="AS74"/>
      <c r="AT74"/>
    </row>
    <row r="75" spans="1:46">
      <c r="A75" s="95" t="s">
        <v>191</v>
      </c>
      <c r="B75" s="95" t="s">
        <v>89</v>
      </c>
      <c r="C75" s="95" t="s">
        <v>207</v>
      </c>
      <c r="D75" s="95" t="s">
        <v>90</v>
      </c>
      <c r="E75" s="95" t="s">
        <v>114</v>
      </c>
      <c r="F75" s="95" t="s">
        <v>191</v>
      </c>
      <c r="G75" s="95" t="s">
        <v>208</v>
      </c>
      <c r="H75" s="95" t="s">
        <v>185</v>
      </c>
      <c r="I75" s="95">
        <v>95396.99</v>
      </c>
      <c r="J75" s="95"/>
      <c r="K75" s="95"/>
      <c r="L75" s="95"/>
      <c r="M75" s="95"/>
      <c r="N75" s="95">
        <v>95396.99</v>
      </c>
      <c r="O75" s="95"/>
      <c r="P75" s="95"/>
      <c r="Q75" s="95"/>
      <c r="R75" s="95"/>
      <c r="S75" s="143"/>
      <c r="T75" s="143"/>
      <c r="U75" s="143"/>
      <c r="V75" s="89"/>
      <c r="W75" s="53"/>
      <c r="X75" s="53"/>
      <c r="Y75" s="53"/>
      <c r="Z75" s="53"/>
      <c r="AE75"/>
      <c r="AF75"/>
      <c r="AG75"/>
      <c r="AH75"/>
      <c r="AI75"/>
      <c r="AJ75"/>
      <c r="AK75"/>
      <c r="AL75"/>
      <c r="AM75"/>
      <c r="AN75"/>
      <c r="AO75"/>
      <c r="AP75"/>
      <c r="AQ75"/>
      <c r="AR75"/>
      <c r="AS75"/>
      <c r="AT75"/>
    </row>
    <row r="76" spans="1:46">
      <c r="A76" s="95" t="s">
        <v>191</v>
      </c>
      <c r="B76" s="95" t="s">
        <v>89</v>
      </c>
      <c r="C76" s="95" t="s">
        <v>190</v>
      </c>
      <c r="D76" s="95" t="s">
        <v>93</v>
      </c>
      <c r="E76" s="95" t="s">
        <v>114</v>
      </c>
      <c r="F76" s="95" t="s">
        <v>191</v>
      </c>
      <c r="G76" s="95" t="s">
        <v>192</v>
      </c>
      <c r="H76" s="95" t="s">
        <v>193</v>
      </c>
      <c r="I76" s="95">
        <v>375000</v>
      </c>
      <c r="J76" s="95"/>
      <c r="K76" s="95"/>
      <c r="L76" s="95"/>
      <c r="M76" s="95"/>
      <c r="N76" s="95">
        <v>375000</v>
      </c>
      <c r="O76" s="95"/>
      <c r="P76" s="95"/>
      <c r="Q76" s="95"/>
      <c r="R76" s="95"/>
      <c r="S76" s="143"/>
      <c r="T76" s="143"/>
      <c r="U76" s="143"/>
      <c r="V76" s="89"/>
      <c r="W76" s="53"/>
      <c r="X76" s="53"/>
      <c r="Y76" s="53"/>
      <c r="Z76" s="53"/>
      <c r="AE76"/>
      <c r="AF76"/>
      <c r="AG76"/>
      <c r="AH76"/>
      <c r="AI76"/>
      <c r="AJ76"/>
      <c r="AK76"/>
      <c r="AL76"/>
      <c r="AM76"/>
      <c r="AN76"/>
      <c r="AO76"/>
      <c r="AP76"/>
      <c r="AQ76"/>
      <c r="AR76"/>
      <c r="AS76"/>
      <c r="AT76"/>
    </row>
    <row r="77" spans="1:46">
      <c r="A77" s="95" t="s">
        <v>191</v>
      </c>
      <c r="B77" s="95" t="s">
        <v>105</v>
      </c>
      <c r="C77" s="95" t="s">
        <v>220</v>
      </c>
      <c r="D77" s="95" t="s">
        <v>90</v>
      </c>
      <c r="E77" s="95" t="s">
        <v>114</v>
      </c>
      <c r="F77" s="95" t="s">
        <v>191</v>
      </c>
      <c r="G77" s="95" t="s">
        <v>212</v>
      </c>
      <c r="H77" s="95" t="s">
        <v>188</v>
      </c>
      <c r="I77" s="95">
        <v>274496</v>
      </c>
      <c r="J77" s="95">
        <v>274496</v>
      </c>
      <c r="K77" s="95"/>
      <c r="L77" s="95"/>
      <c r="M77" s="95"/>
      <c r="N77" s="95"/>
      <c r="O77" s="95"/>
      <c r="P77" s="95"/>
      <c r="Q77" s="95"/>
      <c r="R77" s="95"/>
      <c r="S77" s="143"/>
      <c r="T77" s="143"/>
      <c r="U77" s="143"/>
      <c r="V77" s="89"/>
      <c r="W77" s="53"/>
      <c r="X77" s="53"/>
      <c r="Y77" s="53"/>
      <c r="Z77" s="53"/>
      <c r="AE77"/>
      <c r="AF77"/>
      <c r="AG77"/>
      <c r="AH77"/>
      <c r="AI77"/>
      <c r="AJ77"/>
      <c r="AK77"/>
      <c r="AL77"/>
      <c r="AM77"/>
      <c r="AN77"/>
      <c r="AO77"/>
      <c r="AP77"/>
      <c r="AQ77"/>
      <c r="AR77"/>
      <c r="AS77"/>
      <c r="AT77"/>
    </row>
    <row r="78" spans="1:46">
      <c r="A78" s="95" t="s">
        <v>191</v>
      </c>
      <c r="B78" s="95" t="s">
        <v>105</v>
      </c>
      <c r="C78" s="95" t="s">
        <v>221</v>
      </c>
      <c r="D78" s="95" t="s">
        <v>90</v>
      </c>
      <c r="E78" s="95" t="s">
        <v>114</v>
      </c>
      <c r="F78" s="95" t="s">
        <v>191</v>
      </c>
      <c r="G78" s="95" t="s">
        <v>222</v>
      </c>
      <c r="H78" s="95" t="s">
        <v>188</v>
      </c>
      <c r="I78" s="95">
        <v>200000</v>
      </c>
      <c r="J78" s="95">
        <v>200000</v>
      </c>
      <c r="K78" s="95"/>
      <c r="L78" s="95"/>
      <c r="M78" s="95"/>
      <c r="N78" s="95"/>
      <c r="O78" s="95"/>
      <c r="P78" s="95"/>
      <c r="Q78" s="95"/>
      <c r="R78" s="95"/>
      <c r="S78" s="143"/>
      <c r="T78" s="143"/>
      <c r="U78" s="143"/>
      <c r="V78" s="89"/>
      <c r="W78" s="53"/>
      <c r="X78" s="53"/>
      <c r="Y78" s="53"/>
      <c r="Z78" s="53"/>
      <c r="AE78"/>
      <c r="AF78"/>
      <c r="AG78"/>
      <c r="AH78"/>
      <c r="AI78"/>
      <c r="AJ78"/>
      <c r="AK78"/>
      <c r="AL78"/>
      <c r="AM78"/>
      <c r="AN78"/>
      <c r="AO78"/>
      <c r="AP78"/>
      <c r="AQ78"/>
      <c r="AR78"/>
      <c r="AS78"/>
      <c r="AT78"/>
    </row>
    <row r="79" spans="1:46">
      <c r="A79" s="95" t="s">
        <v>191</v>
      </c>
      <c r="B79" s="95" t="s">
        <v>105</v>
      </c>
      <c r="C79" s="95" t="s">
        <v>223</v>
      </c>
      <c r="D79" s="95" t="s">
        <v>90</v>
      </c>
      <c r="E79" s="95" t="s">
        <v>114</v>
      </c>
      <c r="F79" s="95" t="s">
        <v>191</v>
      </c>
      <c r="G79" s="95" t="s">
        <v>213</v>
      </c>
      <c r="H79" s="95" t="s">
        <v>188</v>
      </c>
      <c r="I79" s="95">
        <v>562041</v>
      </c>
      <c r="J79" s="95">
        <v>562041</v>
      </c>
      <c r="K79" s="95"/>
      <c r="L79" s="95"/>
      <c r="M79" s="95"/>
      <c r="N79" s="95"/>
      <c r="O79" s="95"/>
      <c r="P79" s="95"/>
      <c r="Q79" s="95"/>
      <c r="R79" s="95"/>
      <c r="S79" s="143"/>
      <c r="T79" s="143"/>
      <c r="U79" s="143"/>
      <c r="V79" s="89"/>
      <c r="W79" s="53"/>
      <c r="X79" s="53"/>
      <c r="Y79" s="53"/>
      <c r="Z79" s="53"/>
      <c r="AE79"/>
      <c r="AF79"/>
      <c r="AG79"/>
      <c r="AH79"/>
      <c r="AI79"/>
      <c r="AJ79"/>
      <c r="AK79"/>
      <c r="AL79"/>
      <c r="AM79"/>
      <c r="AN79"/>
      <c r="AO79"/>
      <c r="AP79"/>
      <c r="AQ79"/>
      <c r="AR79"/>
      <c r="AS79"/>
      <c r="AT79"/>
    </row>
    <row r="80" spans="1:46">
      <c r="A80" s="95" t="s">
        <v>191</v>
      </c>
      <c r="B80" s="95" t="s">
        <v>101</v>
      </c>
      <c r="C80" s="95" t="s">
        <v>220</v>
      </c>
      <c r="D80" s="95" t="s">
        <v>114</v>
      </c>
      <c r="E80" s="95" t="s">
        <v>90</v>
      </c>
      <c r="F80" s="95" t="s">
        <v>191</v>
      </c>
      <c r="G80" s="95" t="s">
        <v>212</v>
      </c>
      <c r="H80" s="95" t="s">
        <v>188</v>
      </c>
      <c r="I80" s="95">
        <v>-304996</v>
      </c>
      <c r="J80" s="95"/>
      <c r="K80" s="95"/>
      <c r="L80" s="95"/>
      <c r="M80" s="95"/>
      <c r="N80" s="95">
        <v>-304996</v>
      </c>
      <c r="O80" s="95"/>
      <c r="P80" s="95"/>
      <c r="Q80" s="95"/>
      <c r="R80" s="95"/>
      <c r="S80" s="143"/>
      <c r="T80" s="143"/>
      <c r="U80" s="143"/>
      <c r="V80" s="89"/>
      <c r="W80" s="53"/>
      <c r="X80" s="53"/>
      <c r="Y80" s="53"/>
      <c r="Z80" s="53"/>
      <c r="AE80"/>
      <c r="AF80"/>
      <c r="AG80"/>
      <c r="AH80"/>
      <c r="AI80"/>
      <c r="AJ80"/>
      <c r="AK80"/>
      <c r="AL80"/>
      <c r="AM80"/>
      <c r="AN80"/>
      <c r="AO80"/>
      <c r="AP80"/>
      <c r="AQ80"/>
      <c r="AR80"/>
      <c r="AS80"/>
      <c r="AT80"/>
    </row>
    <row r="81" spans="1:46">
      <c r="A81" s="95" t="s">
        <v>191</v>
      </c>
      <c r="B81" s="95" t="s">
        <v>101</v>
      </c>
      <c r="C81" s="95" t="s">
        <v>221</v>
      </c>
      <c r="D81" s="95" t="s">
        <v>114</v>
      </c>
      <c r="E81" s="95" t="s">
        <v>90</v>
      </c>
      <c r="F81" s="95" t="s">
        <v>191</v>
      </c>
      <c r="G81" s="95" t="s">
        <v>222</v>
      </c>
      <c r="H81" s="95" t="s">
        <v>188</v>
      </c>
      <c r="I81" s="95">
        <v>-222222</v>
      </c>
      <c r="J81" s="95"/>
      <c r="K81" s="95"/>
      <c r="L81" s="95"/>
      <c r="M81" s="95"/>
      <c r="N81" s="95">
        <v>-222222</v>
      </c>
      <c r="O81" s="95"/>
      <c r="P81" s="95"/>
      <c r="Q81" s="95"/>
      <c r="R81" s="95"/>
      <c r="S81" s="143"/>
      <c r="T81" s="143"/>
      <c r="U81" s="143"/>
      <c r="V81" s="89"/>
      <c r="W81" s="53"/>
      <c r="X81" s="53"/>
      <c r="Y81" s="53"/>
      <c r="Z81" s="53"/>
      <c r="AE81"/>
      <c r="AF81"/>
      <c r="AG81"/>
      <c r="AH81"/>
      <c r="AI81"/>
      <c r="AJ81"/>
      <c r="AK81"/>
      <c r="AL81"/>
      <c r="AM81"/>
      <c r="AN81"/>
      <c r="AO81"/>
      <c r="AP81"/>
      <c r="AQ81"/>
      <c r="AR81"/>
      <c r="AS81"/>
      <c r="AT81"/>
    </row>
    <row r="82" spans="1:46">
      <c r="A82" s="95" t="s">
        <v>191</v>
      </c>
      <c r="B82" s="95" t="s">
        <v>101</v>
      </c>
      <c r="C82" s="95" t="s">
        <v>223</v>
      </c>
      <c r="D82" s="95" t="s">
        <v>114</v>
      </c>
      <c r="E82" s="95" t="s">
        <v>90</v>
      </c>
      <c r="F82" s="95" t="s">
        <v>191</v>
      </c>
      <c r="G82" s="95" t="s">
        <v>213</v>
      </c>
      <c r="H82" s="95" t="s">
        <v>188</v>
      </c>
      <c r="I82" s="95">
        <v>-624490</v>
      </c>
      <c r="J82" s="95"/>
      <c r="K82" s="95"/>
      <c r="L82" s="95"/>
      <c r="M82" s="95"/>
      <c r="N82" s="95">
        <v>-624490</v>
      </c>
      <c r="O82" s="95"/>
      <c r="P82" s="95"/>
      <c r="Q82" s="95"/>
      <c r="R82" s="95"/>
      <c r="S82" s="143"/>
      <c r="T82" s="143"/>
      <c r="U82" s="143"/>
      <c r="V82" s="89"/>
      <c r="W82" s="53"/>
      <c r="X82" s="53"/>
      <c r="Y82" s="53"/>
      <c r="Z82" s="53"/>
      <c r="AE82"/>
      <c r="AF82"/>
      <c r="AG82"/>
      <c r="AH82"/>
      <c r="AI82"/>
      <c r="AJ82"/>
      <c r="AK82"/>
      <c r="AL82"/>
      <c r="AM82"/>
      <c r="AN82"/>
      <c r="AO82"/>
      <c r="AP82"/>
      <c r="AQ82"/>
      <c r="AR82"/>
      <c r="AS82"/>
      <c r="AT82"/>
    </row>
    <row r="83" spans="1:46">
      <c r="A83" s="95" t="s">
        <v>191</v>
      </c>
      <c r="B83" s="95" t="s">
        <v>101</v>
      </c>
      <c r="C83" s="95" t="s">
        <v>224</v>
      </c>
      <c r="D83" s="95" t="s">
        <v>114</v>
      </c>
      <c r="E83" s="95" t="s">
        <v>90</v>
      </c>
      <c r="F83" s="95" t="s">
        <v>191</v>
      </c>
      <c r="G83" s="95" t="s">
        <v>225</v>
      </c>
      <c r="H83" s="95" t="s">
        <v>226</v>
      </c>
      <c r="I83" s="95">
        <v>-25565.59</v>
      </c>
      <c r="J83" s="95"/>
      <c r="K83" s="95">
        <v>-25565.59</v>
      </c>
      <c r="L83" s="95"/>
      <c r="M83" s="95"/>
      <c r="N83" s="95"/>
      <c r="O83" s="95"/>
      <c r="P83" s="95"/>
      <c r="Q83" s="95"/>
      <c r="R83" s="95"/>
      <c r="S83" s="143"/>
      <c r="T83" s="143"/>
      <c r="U83" s="143"/>
      <c r="V83" s="89"/>
      <c r="W83" s="53"/>
      <c r="X83" s="53"/>
      <c r="Y83" s="53"/>
      <c r="Z83" s="53"/>
      <c r="AE83"/>
      <c r="AF83"/>
      <c r="AG83"/>
      <c r="AH83"/>
      <c r="AI83"/>
      <c r="AJ83"/>
      <c r="AK83"/>
      <c r="AL83"/>
      <c r="AM83"/>
      <c r="AN83"/>
      <c r="AO83"/>
      <c r="AP83"/>
      <c r="AQ83"/>
      <c r="AR83"/>
      <c r="AS83"/>
      <c r="AT83"/>
    </row>
    <row r="84" spans="1:46">
      <c r="A84" s="95" t="s">
        <v>191</v>
      </c>
      <c r="B84" s="95" t="s">
        <v>101</v>
      </c>
      <c r="C84" s="95" t="s">
        <v>227</v>
      </c>
      <c r="D84" s="95" t="s">
        <v>114</v>
      </c>
      <c r="E84" s="95" t="s">
        <v>90</v>
      </c>
      <c r="F84" s="95" t="s">
        <v>191</v>
      </c>
      <c r="G84" s="95" t="s">
        <v>228</v>
      </c>
      <c r="H84" s="95" t="s">
        <v>226</v>
      </c>
      <c r="I84" s="95">
        <v>-12580</v>
      </c>
      <c r="J84" s="95"/>
      <c r="K84" s="95">
        <v>-12580</v>
      </c>
      <c r="L84" s="95"/>
      <c r="M84" s="95"/>
      <c r="N84" s="95"/>
      <c r="O84" s="95"/>
      <c r="P84" s="95"/>
      <c r="Q84" s="95"/>
      <c r="R84" s="95"/>
      <c r="S84" s="143"/>
      <c r="T84" s="143"/>
      <c r="U84" s="143"/>
      <c r="V84" s="89"/>
      <c r="W84" s="53"/>
      <c r="X84" s="53"/>
      <c r="Y84" s="53"/>
      <c r="Z84" s="53"/>
      <c r="AE84"/>
      <c r="AF84"/>
      <c r="AG84"/>
      <c r="AH84"/>
      <c r="AI84"/>
      <c r="AJ84"/>
      <c r="AK84"/>
      <c r="AL84"/>
      <c r="AM84"/>
      <c r="AN84"/>
      <c r="AO84"/>
      <c r="AP84"/>
      <c r="AQ84"/>
      <c r="AR84"/>
      <c r="AS84"/>
      <c r="AT84"/>
    </row>
    <row r="85" spans="1:46">
      <c r="A85" s="95" t="s">
        <v>215</v>
      </c>
      <c r="B85" s="95" t="s">
        <v>88</v>
      </c>
      <c r="C85" s="95" t="s">
        <v>229</v>
      </c>
      <c r="D85" s="95" t="s">
        <v>114</v>
      </c>
      <c r="E85" s="95" t="s">
        <v>90</v>
      </c>
      <c r="F85" s="95" t="s">
        <v>230</v>
      </c>
      <c r="G85" s="95" t="s">
        <v>218</v>
      </c>
      <c r="H85" s="95" t="s">
        <v>185</v>
      </c>
      <c r="I85" s="95">
        <v>-277859.28999999998</v>
      </c>
      <c r="J85" s="95"/>
      <c r="K85" s="95"/>
      <c r="L85" s="95"/>
      <c r="M85" s="95"/>
      <c r="N85" s="95">
        <v>-277859.28999999998</v>
      </c>
      <c r="O85" s="95"/>
      <c r="P85" s="95"/>
      <c r="Q85" s="95"/>
      <c r="R85" s="95"/>
      <c r="S85" s="143"/>
      <c r="T85" s="143"/>
      <c r="U85" s="143"/>
      <c r="V85" s="89"/>
      <c r="W85" s="53"/>
      <c r="X85" s="53"/>
      <c r="Y85" s="53"/>
      <c r="Z85" s="53"/>
      <c r="AE85"/>
      <c r="AF85"/>
      <c r="AG85"/>
      <c r="AH85"/>
      <c r="AI85"/>
      <c r="AJ85"/>
      <c r="AK85"/>
      <c r="AL85"/>
      <c r="AM85"/>
      <c r="AN85"/>
      <c r="AO85"/>
      <c r="AP85"/>
      <c r="AQ85"/>
      <c r="AR85"/>
      <c r="AS85"/>
      <c r="AT85"/>
    </row>
    <row r="86" spans="1:46">
      <c r="A86" s="95" t="s">
        <v>215</v>
      </c>
      <c r="B86" s="95" t="s">
        <v>89</v>
      </c>
      <c r="C86" s="95" t="s">
        <v>214</v>
      </c>
      <c r="D86" s="95" t="s">
        <v>90</v>
      </c>
      <c r="E86" s="95" t="s">
        <v>114</v>
      </c>
      <c r="F86" s="95" t="s">
        <v>215</v>
      </c>
      <c r="G86" s="95" t="s">
        <v>216</v>
      </c>
      <c r="H86" s="95" t="s">
        <v>185</v>
      </c>
      <c r="I86" s="95">
        <v>452961</v>
      </c>
      <c r="J86" s="95"/>
      <c r="K86" s="95"/>
      <c r="L86" s="95"/>
      <c r="M86" s="95"/>
      <c r="N86" s="95">
        <v>452961</v>
      </c>
      <c r="O86" s="95"/>
      <c r="P86" s="95"/>
      <c r="Q86" s="95"/>
      <c r="R86" s="95"/>
      <c r="S86" s="143"/>
      <c r="T86" s="143"/>
      <c r="U86" s="143"/>
      <c r="V86" s="89"/>
      <c r="W86" s="53"/>
      <c r="X86" s="53"/>
      <c r="Y86" s="53"/>
      <c r="Z86" s="53"/>
      <c r="AE86"/>
      <c r="AF86"/>
      <c r="AG86"/>
      <c r="AH86"/>
      <c r="AI86"/>
      <c r="AJ86"/>
      <c r="AK86"/>
      <c r="AL86"/>
      <c r="AM86"/>
      <c r="AN86"/>
      <c r="AO86"/>
      <c r="AP86"/>
      <c r="AQ86"/>
      <c r="AR86"/>
      <c r="AS86"/>
      <c r="AT86"/>
    </row>
    <row r="87" spans="1:46">
      <c r="A87" s="95" t="s">
        <v>215</v>
      </c>
      <c r="B87" s="95" t="s">
        <v>89</v>
      </c>
      <c r="C87" s="95" t="s">
        <v>217</v>
      </c>
      <c r="D87" s="95" t="s">
        <v>90</v>
      </c>
      <c r="E87" s="95" t="s">
        <v>114</v>
      </c>
      <c r="F87" s="95" t="s">
        <v>215</v>
      </c>
      <c r="G87" s="95" t="s">
        <v>218</v>
      </c>
      <c r="H87" s="95" t="s">
        <v>185</v>
      </c>
      <c r="I87" s="95">
        <v>27347.66</v>
      </c>
      <c r="J87" s="95"/>
      <c r="K87" s="95"/>
      <c r="L87" s="95"/>
      <c r="M87" s="95"/>
      <c r="N87" s="95"/>
      <c r="O87" s="95"/>
      <c r="P87" s="95"/>
      <c r="Q87" s="95"/>
      <c r="R87" s="95">
        <v>27347.66</v>
      </c>
      <c r="S87" s="143"/>
      <c r="T87" s="143"/>
      <c r="U87" s="143"/>
      <c r="V87" s="89"/>
      <c r="W87" s="53"/>
      <c r="X87" s="53"/>
      <c r="Y87" s="53"/>
      <c r="Z87" s="53"/>
      <c r="AE87"/>
      <c r="AF87"/>
      <c r="AG87"/>
      <c r="AH87"/>
      <c r="AI87"/>
      <c r="AJ87"/>
      <c r="AK87"/>
      <c r="AL87"/>
      <c r="AM87"/>
      <c r="AN87"/>
      <c r="AO87"/>
      <c r="AP87"/>
      <c r="AQ87"/>
      <c r="AR87"/>
      <c r="AS87"/>
      <c r="AT87"/>
    </row>
    <row r="88" spans="1:46">
      <c r="A88" s="95" t="s">
        <v>215</v>
      </c>
      <c r="B88" s="95" t="s">
        <v>89</v>
      </c>
      <c r="C88" s="95" t="s">
        <v>219</v>
      </c>
      <c r="D88" s="95" t="s">
        <v>90</v>
      </c>
      <c r="E88" s="95" t="s">
        <v>114</v>
      </c>
      <c r="F88" s="95" t="s">
        <v>215</v>
      </c>
      <c r="G88" s="95" t="s">
        <v>218</v>
      </c>
      <c r="H88" s="95" t="s">
        <v>185</v>
      </c>
      <c r="I88" s="95">
        <v>13608.69</v>
      </c>
      <c r="J88" s="95"/>
      <c r="K88" s="95"/>
      <c r="L88" s="95"/>
      <c r="M88" s="95"/>
      <c r="N88" s="95"/>
      <c r="O88" s="95"/>
      <c r="P88" s="95"/>
      <c r="Q88" s="95"/>
      <c r="R88" s="95">
        <v>13608.69</v>
      </c>
      <c r="S88" s="143"/>
      <c r="T88" s="143"/>
      <c r="U88" s="143"/>
      <c r="V88" s="89"/>
      <c r="W88" s="53"/>
      <c r="X88" s="53"/>
      <c r="Y88" s="53"/>
      <c r="Z88" s="53"/>
      <c r="AE88"/>
      <c r="AF88"/>
      <c r="AG88"/>
      <c r="AH88"/>
      <c r="AI88"/>
      <c r="AJ88"/>
      <c r="AK88"/>
      <c r="AL88"/>
      <c r="AM88"/>
      <c r="AN88"/>
      <c r="AO88"/>
      <c r="AP88"/>
      <c r="AQ88"/>
      <c r="AR88"/>
      <c r="AS88"/>
      <c r="AT88"/>
    </row>
    <row r="89" spans="1:46">
      <c r="A89" s="95" t="s">
        <v>215</v>
      </c>
      <c r="B89" s="95" t="s">
        <v>105</v>
      </c>
      <c r="C89" s="95" t="s">
        <v>231</v>
      </c>
      <c r="D89" s="95" t="s">
        <v>90</v>
      </c>
      <c r="E89" s="95" t="s">
        <v>114</v>
      </c>
      <c r="F89" s="95" t="s">
        <v>215</v>
      </c>
      <c r="G89" s="95" t="s">
        <v>232</v>
      </c>
      <c r="H89" s="95" t="s">
        <v>233</v>
      </c>
      <c r="I89" s="95">
        <v>353454</v>
      </c>
      <c r="J89" s="95">
        <v>353454</v>
      </c>
      <c r="K89" s="95"/>
      <c r="L89" s="95"/>
      <c r="M89" s="95"/>
      <c r="N89" s="95"/>
      <c r="O89" s="95"/>
      <c r="P89" s="95"/>
      <c r="Q89" s="95"/>
      <c r="R89" s="95"/>
      <c r="S89" s="143"/>
      <c r="T89" s="143"/>
      <c r="U89" s="143"/>
      <c r="V89" s="89"/>
      <c r="W89" s="53"/>
      <c r="X89" s="53"/>
      <c r="Y89" s="53"/>
      <c r="Z89" s="53"/>
      <c r="AE89"/>
      <c r="AF89"/>
      <c r="AG89"/>
      <c r="AH89"/>
      <c r="AI89"/>
      <c r="AJ89"/>
      <c r="AK89"/>
      <c r="AL89"/>
      <c r="AM89"/>
      <c r="AN89"/>
      <c r="AO89"/>
      <c r="AP89"/>
      <c r="AQ89"/>
      <c r="AR89"/>
      <c r="AS89"/>
      <c r="AT89"/>
    </row>
    <row r="90" spans="1:46">
      <c r="A90" s="95" t="s">
        <v>215</v>
      </c>
      <c r="B90" s="95" t="s">
        <v>105</v>
      </c>
      <c r="C90" s="95" t="s">
        <v>234</v>
      </c>
      <c r="D90" s="95" t="s">
        <v>90</v>
      </c>
      <c r="E90" s="95" t="s">
        <v>114</v>
      </c>
      <c r="F90" s="95" t="s">
        <v>215</v>
      </c>
      <c r="G90" s="95" t="s">
        <v>232</v>
      </c>
      <c r="H90" s="95" t="s">
        <v>233</v>
      </c>
      <c r="I90" s="95">
        <v>160086</v>
      </c>
      <c r="J90" s="95">
        <v>160086</v>
      </c>
      <c r="K90" s="95"/>
      <c r="L90" s="95"/>
      <c r="M90" s="95"/>
      <c r="N90" s="95"/>
      <c r="O90" s="95"/>
      <c r="P90" s="95"/>
      <c r="Q90" s="95"/>
      <c r="R90" s="95"/>
      <c r="S90" s="143"/>
      <c r="T90" s="143"/>
      <c r="U90" s="143"/>
      <c r="V90" s="89"/>
      <c r="W90" s="53"/>
      <c r="X90" s="53"/>
      <c r="Y90" s="53"/>
      <c r="Z90" s="53"/>
      <c r="AE90"/>
      <c r="AF90"/>
      <c r="AG90"/>
      <c r="AH90"/>
      <c r="AI90"/>
      <c r="AJ90"/>
      <c r="AK90"/>
      <c r="AL90"/>
      <c r="AM90"/>
      <c r="AN90"/>
      <c r="AO90"/>
      <c r="AP90"/>
      <c r="AQ90"/>
      <c r="AR90"/>
      <c r="AS90"/>
      <c r="AT90"/>
    </row>
    <row r="91" spans="1:46">
      <c r="A91" s="95" t="s">
        <v>215</v>
      </c>
      <c r="B91" s="95" t="s">
        <v>105</v>
      </c>
      <c r="C91" s="95" t="s">
        <v>234</v>
      </c>
      <c r="D91" s="95" t="s">
        <v>90</v>
      </c>
      <c r="E91" s="95" t="s">
        <v>114</v>
      </c>
      <c r="F91" s="95" t="s">
        <v>215</v>
      </c>
      <c r="G91" s="95" t="s">
        <v>235</v>
      </c>
      <c r="H91" s="95" t="s">
        <v>188</v>
      </c>
      <c r="I91" s="95">
        <v>400000</v>
      </c>
      <c r="J91" s="95">
        <v>400000</v>
      </c>
      <c r="K91" s="95"/>
      <c r="L91" s="95"/>
      <c r="M91" s="95"/>
      <c r="N91" s="95"/>
      <c r="O91" s="95"/>
      <c r="P91" s="95"/>
      <c r="Q91" s="95"/>
      <c r="R91" s="95"/>
      <c r="S91" s="143"/>
      <c r="T91" s="143"/>
      <c r="U91" s="143"/>
      <c r="V91" s="89"/>
      <c r="W91" s="53"/>
      <c r="X91" s="53"/>
      <c r="Y91" s="53"/>
      <c r="Z91" s="53"/>
      <c r="AE91"/>
      <c r="AF91"/>
      <c r="AG91"/>
      <c r="AH91"/>
      <c r="AI91"/>
      <c r="AJ91"/>
      <c r="AK91"/>
      <c r="AL91"/>
      <c r="AM91"/>
      <c r="AN91"/>
      <c r="AO91"/>
      <c r="AP91"/>
      <c r="AQ91"/>
      <c r="AR91"/>
      <c r="AS91"/>
      <c r="AT91"/>
    </row>
    <row r="92" spans="1:46">
      <c r="A92" s="95" t="s">
        <v>215</v>
      </c>
      <c r="B92" s="95" t="s">
        <v>105</v>
      </c>
      <c r="C92" s="95" t="s">
        <v>236</v>
      </c>
      <c r="D92" s="95" t="s">
        <v>90</v>
      </c>
      <c r="E92" s="95" t="s">
        <v>114</v>
      </c>
      <c r="F92" s="95" t="s">
        <v>215</v>
      </c>
      <c r="G92" s="95" t="s">
        <v>237</v>
      </c>
      <c r="H92" s="95" t="s">
        <v>188</v>
      </c>
      <c r="I92" s="95">
        <v>109936</v>
      </c>
      <c r="J92" s="95">
        <v>109936</v>
      </c>
      <c r="K92" s="95"/>
      <c r="L92" s="95"/>
      <c r="M92" s="95"/>
      <c r="N92" s="95"/>
      <c r="O92" s="95"/>
      <c r="P92" s="95"/>
      <c r="Q92" s="95"/>
      <c r="R92" s="95"/>
      <c r="S92" s="143"/>
      <c r="T92" s="143"/>
      <c r="U92" s="143"/>
      <c r="V92" s="89"/>
      <c r="W92" s="53"/>
      <c r="X92" s="53"/>
      <c r="Y92" s="53"/>
      <c r="Z92" s="53"/>
      <c r="AE92"/>
      <c r="AF92"/>
      <c r="AG92"/>
      <c r="AH92"/>
      <c r="AI92"/>
      <c r="AJ92"/>
      <c r="AK92"/>
      <c r="AL92"/>
      <c r="AM92"/>
      <c r="AN92"/>
      <c r="AO92"/>
      <c r="AP92"/>
      <c r="AQ92"/>
      <c r="AR92"/>
      <c r="AS92"/>
      <c r="AT92"/>
    </row>
    <row r="93" spans="1:46">
      <c r="A93" s="95" t="s">
        <v>215</v>
      </c>
      <c r="B93" s="95" t="s">
        <v>105</v>
      </c>
      <c r="C93" s="95" t="s">
        <v>242</v>
      </c>
      <c r="D93" s="95" t="s">
        <v>90</v>
      </c>
      <c r="E93" s="95" t="s">
        <v>114</v>
      </c>
      <c r="F93" s="95" t="s">
        <v>215</v>
      </c>
      <c r="G93" s="95" t="s">
        <v>243</v>
      </c>
      <c r="H93" s="95" t="s">
        <v>188</v>
      </c>
      <c r="I93" s="95">
        <v>156209</v>
      </c>
      <c r="J93" s="95">
        <v>156209</v>
      </c>
      <c r="K93" s="95"/>
      <c r="L93" s="95"/>
      <c r="M93" s="95"/>
      <c r="N93" s="95"/>
      <c r="O93" s="95"/>
      <c r="P93" s="95"/>
      <c r="Q93" s="95"/>
      <c r="R93" s="95"/>
      <c r="S93" s="143"/>
      <c r="T93" s="143"/>
      <c r="U93" s="143"/>
      <c r="V93" s="89"/>
      <c r="W93" s="53"/>
      <c r="X93" s="53"/>
      <c r="Y93" s="53"/>
      <c r="Z93" s="53"/>
      <c r="AE93"/>
      <c r="AF93"/>
      <c r="AG93"/>
      <c r="AH93"/>
      <c r="AI93"/>
      <c r="AJ93"/>
      <c r="AK93"/>
      <c r="AL93"/>
      <c r="AM93"/>
      <c r="AN93"/>
      <c r="AO93"/>
      <c r="AP93"/>
      <c r="AQ93"/>
      <c r="AR93"/>
      <c r="AS93"/>
      <c r="AT93"/>
    </row>
    <row r="94" spans="1:46">
      <c r="A94" s="95" t="s">
        <v>215</v>
      </c>
      <c r="B94" s="95" t="s">
        <v>101</v>
      </c>
      <c r="C94" s="95" t="s">
        <v>238</v>
      </c>
      <c r="D94" s="95" t="s">
        <v>114</v>
      </c>
      <c r="E94" s="95" t="s">
        <v>90</v>
      </c>
      <c r="F94" s="95" t="s">
        <v>215</v>
      </c>
      <c r="G94" s="95" t="s">
        <v>235</v>
      </c>
      <c r="H94" s="95" t="s">
        <v>239</v>
      </c>
      <c r="I94" s="95">
        <v>-444444</v>
      </c>
      <c r="J94" s="95"/>
      <c r="K94" s="95"/>
      <c r="L94" s="95"/>
      <c r="M94" s="95"/>
      <c r="N94" s="95">
        <v>-444444</v>
      </c>
      <c r="O94" s="95"/>
      <c r="P94" s="95"/>
      <c r="Q94" s="95"/>
      <c r="R94" s="95"/>
      <c r="S94" s="143"/>
      <c r="T94" s="143"/>
      <c r="U94" s="143"/>
      <c r="V94" s="89"/>
      <c r="W94" s="53"/>
      <c r="X94" s="53"/>
      <c r="Y94" s="53"/>
      <c r="Z94" s="53"/>
      <c r="AE94"/>
      <c r="AF94"/>
      <c r="AG94"/>
      <c r="AH94"/>
      <c r="AI94"/>
      <c r="AJ94"/>
      <c r="AK94"/>
      <c r="AL94"/>
      <c r="AM94"/>
      <c r="AN94"/>
      <c r="AO94"/>
      <c r="AP94"/>
      <c r="AQ94"/>
      <c r="AR94"/>
      <c r="AS94"/>
      <c r="AT94"/>
    </row>
    <row r="95" spans="1:46">
      <c r="A95" s="95" t="s">
        <v>215</v>
      </c>
      <c r="B95" s="95" t="s">
        <v>101</v>
      </c>
      <c r="C95" s="95" t="s">
        <v>240</v>
      </c>
      <c r="D95" s="95" t="s">
        <v>114</v>
      </c>
      <c r="E95" s="95" t="s">
        <v>90</v>
      </c>
      <c r="F95" s="95" t="s">
        <v>215</v>
      </c>
      <c r="G95" s="95" t="s">
        <v>237</v>
      </c>
      <c r="H95" s="95" t="s">
        <v>189</v>
      </c>
      <c r="I95" s="95">
        <v>-122151.11</v>
      </c>
      <c r="J95" s="95"/>
      <c r="K95" s="95"/>
      <c r="L95" s="95"/>
      <c r="M95" s="95"/>
      <c r="N95" s="95"/>
      <c r="O95" s="95">
        <v>-122151.11</v>
      </c>
      <c r="P95" s="95"/>
      <c r="Q95" s="95"/>
      <c r="R95" s="95"/>
      <c r="S95" s="143"/>
      <c r="T95" s="143"/>
      <c r="U95" s="143"/>
      <c r="V95" s="89"/>
      <c r="W95" s="53"/>
      <c r="X95" s="53"/>
      <c r="Y95" s="53"/>
      <c r="Z95" s="53"/>
      <c r="AE95"/>
      <c r="AF95"/>
      <c r="AG95"/>
      <c r="AH95"/>
      <c r="AI95"/>
      <c r="AJ95"/>
      <c r="AK95"/>
      <c r="AL95"/>
      <c r="AM95"/>
      <c r="AN95"/>
      <c r="AO95"/>
      <c r="AP95"/>
      <c r="AQ95"/>
      <c r="AR95"/>
      <c r="AS95"/>
      <c r="AT95"/>
    </row>
    <row r="96" spans="1:46">
      <c r="A96" s="95" t="s">
        <v>215</v>
      </c>
      <c r="B96" s="95" t="s">
        <v>101</v>
      </c>
      <c r="C96" s="95" t="s">
        <v>244</v>
      </c>
      <c r="D96" s="95" t="s">
        <v>114</v>
      </c>
      <c r="E96" s="95" t="s">
        <v>90</v>
      </c>
      <c r="F96" s="95" t="s">
        <v>215</v>
      </c>
      <c r="G96" s="95" t="s">
        <v>243</v>
      </c>
      <c r="H96" s="95" t="s">
        <v>189</v>
      </c>
      <c r="I96" s="95">
        <v>-173565.55</v>
      </c>
      <c r="J96" s="95"/>
      <c r="K96" s="95"/>
      <c r="L96" s="95"/>
      <c r="M96" s="95"/>
      <c r="N96" s="95"/>
      <c r="O96" s="95">
        <v>-173565.55</v>
      </c>
      <c r="P96" s="95"/>
      <c r="Q96" s="95"/>
      <c r="R96" s="95"/>
      <c r="S96" s="143"/>
      <c r="T96" s="143"/>
      <c r="U96" s="143"/>
      <c r="V96" s="89"/>
      <c r="W96" s="53"/>
      <c r="X96" s="53"/>
      <c r="Y96" s="53"/>
      <c r="Z96" s="53"/>
      <c r="AE96"/>
      <c r="AF96"/>
      <c r="AG96"/>
      <c r="AH96"/>
      <c r="AI96"/>
      <c r="AJ96"/>
      <c r="AK96"/>
      <c r="AL96"/>
      <c r="AM96"/>
      <c r="AN96"/>
      <c r="AO96"/>
      <c r="AP96"/>
      <c r="AQ96"/>
      <c r="AR96"/>
      <c r="AS96"/>
      <c r="AT96"/>
    </row>
    <row r="97" spans="1:46">
      <c r="A97" s="16" t="s">
        <v>215</v>
      </c>
      <c r="B97" s="16" t="s">
        <v>101</v>
      </c>
      <c r="C97" s="16" t="s">
        <v>231</v>
      </c>
      <c r="D97" s="16" t="s">
        <v>114</v>
      </c>
      <c r="E97" s="16" t="s">
        <v>90</v>
      </c>
      <c r="F97" s="16" t="s">
        <v>215</v>
      </c>
      <c r="G97" s="16" t="s">
        <v>232</v>
      </c>
      <c r="H97" s="16" t="s">
        <v>185</v>
      </c>
      <c r="I97" s="16">
        <v>-392727</v>
      </c>
      <c r="O97" s="16">
        <v>-392727</v>
      </c>
      <c r="S97" s="143"/>
      <c r="T97" s="143"/>
      <c r="U97" s="143"/>
      <c r="V97" s="89"/>
      <c r="W97" s="53"/>
      <c r="X97" s="53"/>
      <c r="Y97" s="53"/>
      <c r="Z97" s="53"/>
      <c r="AE97"/>
      <c r="AF97"/>
      <c r="AG97"/>
      <c r="AH97"/>
      <c r="AI97"/>
      <c r="AJ97"/>
      <c r="AK97"/>
      <c r="AL97"/>
      <c r="AM97"/>
      <c r="AN97"/>
      <c r="AO97"/>
      <c r="AP97"/>
      <c r="AQ97"/>
      <c r="AR97"/>
      <c r="AS97"/>
      <c r="AT97"/>
    </row>
    <row r="98" spans="1:46">
      <c r="A98" s="16" t="s">
        <v>215</v>
      </c>
      <c r="B98" s="16" t="s">
        <v>101</v>
      </c>
      <c r="C98" s="16" t="s">
        <v>234</v>
      </c>
      <c r="D98" s="16" t="s">
        <v>114</v>
      </c>
      <c r="E98" s="16" t="s">
        <v>90</v>
      </c>
      <c r="F98" s="16" t="s">
        <v>215</v>
      </c>
      <c r="G98" s="16" t="s">
        <v>232</v>
      </c>
      <c r="H98" s="16" t="s">
        <v>185</v>
      </c>
      <c r="I98" s="16">
        <v>-177873.33</v>
      </c>
      <c r="O98" s="16">
        <v>-177873.33</v>
      </c>
      <c r="S98" s="143"/>
      <c r="T98" s="143"/>
      <c r="U98" s="143"/>
      <c r="V98" s="89"/>
      <c r="W98" s="53"/>
      <c r="X98" s="53"/>
      <c r="Y98" s="53"/>
      <c r="Z98" s="53"/>
      <c r="AE98"/>
      <c r="AF98"/>
      <c r="AG98"/>
      <c r="AH98"/>
      <c r="AI98"/>
      <c r="AJ98"/>
      <c r="AK98"/>
      <c r="AL98"/>
      <c r="AM98"/>
      <c r="AN98"/>
      <c r="AO98"/>
      <c r="AP98"/>
      <c r="AQ98"/>
      <c r="AR98"/>
      <c r="AS98"/>
      <c r="AT98"/>
    </row>
    <row r="99" spans="1:46">
      <c r="A99" s="16" t="s">
        <v>230</v>
      </c>
      <c r="B99" s="16" t="s">
        <v>88</v>
      </c>
      <c r="C99" s="16" t="s">
        <v>269</v>
      </c>
      <c r="D99" s="16" t="s">
        <v>114</v>
      </c>
      <c r="E99" s="16" t="s">
        <v>90</v>
      </c>
      <c r="F99" s="16" t="s">
        <v>196</v>
      </c>
      <c r="G99" s="16" t="s">
        <v>274</v>
      </c>
      <c r="H99" s="16" t="s">
        <v>185</v>
      </c>
      <c r="I99" s="16">
        <v>-799371.63</v>
      </c>
      <c r="N99" s="16">
        <v>-799371.63</v>
      </c>
      <c r="S99" s="143"/>
      <c r="T99" s="143"/>
      <c r="U99" s="143"/>
      <c r="V99" s="89"/>
      <c r="W99" s="53"/>
      <c r="X99" s="53"/>
      <c r="Y99" s="53"/>
      <c r="Z99" s="53"/>
      <c r="AE99"/>
      <c r="AF99"/>
      <c r="AG99"/>
      <c r="AH99"/>
      <c r="AI99"/>
      <c r="AJ99"/>
      <c r="AK99"/>
      <c r="AL99"/>
      <c r="AM99"/>
      <c r="AN99"/>
      <c r="AO99"/>
      <c r="AP99"/>
      <c r="AQ99"/>
      <c r="AR99"/>
      <c r="AS99"/>
      <c r="AT99"/>
    </row>
    <row r="100" spans="1:46">
      <c r="A100" s="16" t="s">
        <v>230</v>
      </c>
      <c r="B100" s="16" t="s">
        <v>89</v>
      </c>
      <c r="C100" s="16" t="s">
        <v>229</v>
      </c>
      <c r="D100" s="16" t="s">
        <v>90</v>
      </c>
      <c r="E100" s="16" t="s">
        <v>114</v>
      </c>
      <c r="F100" s="16" t="s">
        <v>230</v>
      </c>
      <c r="G100" s="16" t="s">
        <v>218</v>
      </c>
      <c r="H100" s="16" t="s">
        <v>185</v>
      </c>
      <c r="I100" s="16">
        <v>277859.28999999998</v>
      </c>
      <c r="N100" s="16">
        <v>277859.28999999998</v>
      </c>
      <c r="S100" s="143"/>
      <c r="T100" s="143"/>
      <c r="U100" s="143"/>
      <c r="V100" s="89"/>
      <c r="W100" s="53"/>
      <c r="X100" s="53"/>
      <c r="Y100" s="53"/>
      <c r="Z100" s="53"/>
      <c r="AE100"/>
      <c r="AF100"/>
      <c r="AG100"/>
      <c r="AH100"/>
      <c r="AI100"/>
      <c r="AJ100"/>
      <c r="AK100"/>
      <c r="AL100"/>
      <c r="AM100"/>
      <c r="AN100"/>
      <c r="AO100"/>
      <c r="AP100"/>
      <c r="AQ100"/>
      <c r="AR100"/>
      <c r="AS100"/>
      <c r="AT100"/>
    </row>
    <row r="101" spans="1:46">
      <c r="A101" s="16" t="s">
        <v>230</v>
      </c>
      <c r="B101" s="16" t="s">
        <v>105</v>
      </c>
      <c r="C101" s="16" t="s">
        <v>275</v>
      </c>
      <c r="D101" s="16" t="s">
        <v>90</v>
      </c>
      <c r="E101" s="16" t="s">
        <v>114</v>
      </c>
      <c r="F101" s="16" t="s">
        <v>230</v>
      </c>
      <c r="G101" s="16" t="s">
        <v>211</v>
      </c>
      <c r="H101" s="16" t="s">
        <v>188</v>
      </c>
      <c r="I101" s="16">
        <v>500000</v>
      </c>
      <c r="J101" s="16">
        <v>500000</v>
      </c>
      <c r="S101" s="143"/>
      <c r="T101" s="143"/>
      <c r="U101" s="143"/>
      <c r="V101" s="89"/>
      <c r="W101" s="53"/>
      <c r="X101" s="53"/>
      <c r="Y101" s="53"/>
      <c r="Z101" s="53"/>
      <c r="AE101"/>
      <c r="AF101"/>
      <c r="AG101"/>
      <c r="AH101"/>
      <c r="AI101"/>
      <c r="AJ101"/>
      <c r="AK101"/>
      <c r="AL101"/>
      <c r="AM101"/>
      <c r="AN101"/>
      <c r="AO101"/>
      <c r="AP101"/>
      <c r="AQ101"/>
      <c r="AR101"/>
      <c r="AS101"/>
      <c r="AT101"/>
    </row>
    <row r="102" spans="1:46">
      <c r="A102" s="16" t="s">
        <v>230</v>
      </c>
      <c r="B102" s="16" t="s">
        <v>105</v>
      </c>
      <c r="C102" s="16" t="s">
        <v>257</v>
      </c>
      <c r="D102" s="16" t="s">
        <v>90</v>
      </c>
      <c r="E102" s="16" t="s">
        <v>114</v>
      </c>
      <c r="F102" s="16" t="s">
        <v>230</v>
      </c>
      <c r="G102" s="16" t="s">
        <v>241</v>
      </c>
      <c r="H102" s="16" t="s">
        <v>233</v>
      </c>
      <c r="I102" s="16">
        <v>607063</v>
      </c>
      <c r="J102" s="16">
        <v>607063</v>
      </c>
      <c r="S102" s="143"/>
      <c r="T102" s="143"/>
      <c r="U102" s="143"/>
      <c r="V102" s="89"/>
      <c r="W102" s="53"/>
      <c r="X102" s="53"/>
      <c r="Y102" s="53"/>
      <c r="Z102" s="53"/>
      <c r="AE102"/>
      <c r="AF102"/>
      <c r="AG102"/>
      <c r="AH102"/>
      <c r="AI102"/>
      <c r="AJ102"/>
      <c r="AK102"/>
      <c r="AL102"/>
      <c r="AM102"/>
      <c r="AN102"/>
      <c r="AO102"/>
      <c r="AP102"/>
      <c r="AQ102"/>
      <c r="AR102"/>
      <c r="AS102"/>
      <c r="AT102"/>
    </row>
    <row r="103" spans="1:46">
      <c r="A103" s="16" t="s">
        <v>230</v>
      </c>
      <c r="B103" s="16" t="s">
        <v>101</v>
      </c>
      <c r="C103" s="16" t="s">
        <v>275</v>
      </c>
      <c r="D103" s="16" t="s">
        <v>114</v>
      </c>
      <c r="E103" s="16" t="s">
        <v>90</v>
      </c>
      <c r="F103" s="16" t="s">
        <v>230</v>
      </c>
      <c r="G103" s="16" t="s">
        <v>211</v>
      </c>
      <c r="H103" s="16" t="s">
        <v>276</v>
      </c>
      <c r="I103" s="16">
        <v>-555555</v>
      </c>
      <c r="N103" s="16">
        <v>-555555</v>
      </c>
      <c r="AM103" s="53"/>
      <c r="AN103" s="53"/>
      <c r="AO103" s="53"/>
      <c r="AP103" s="53"/>
    </row>
    <row r="104" spans="1:46">
      <c r="A104" s="16" t="s">
        <v>230</v>
      </c>
      <c r="B104" s="16" t="s">
        <v>101</v>
      </c>
      <c r="C104" s="16" t="s">
        <v>257</v>
      </c>
      <c r="D104" s="16" t="s">
        <v>114</v>
      </c>
      <c r="E104" s="16" t="s">
        <v>90</v>
      </c>
      <c r="F104" s="16" t="s">
        <v>230</v>
      </c>
      <c r="G104" s="16" t="s">
        <v>241</v>
      </c>
      <c r="H104" s="16" t="s">
        <v>185</v>
      </c>
      <c r="I104" s="16">
        <v>-674514</v>
      </c>
      <c r="O104" s="16">
        <v>-674514</v>
      </c>
    </row>
    <row r="105" spans="1:46">
      <c r="A105" s="155" t="s">
        <v>196</v>
      </c>
      <c r="B105" s="155" t="s">
        <v>88</v>
      </c>
      <c r="C105" s="155" t="s">
        <v>283</v>
      </c>
      <c r="D105" s="155" t="s">
        <v>114</v>
      </c>
      <c r="E105" s="155" t="s">
        <v>90</v>
      </c>
      <c r="F105" s="155" t="s">
        <v>284</v>
      </c>
      <c r="G105" s="155" t="s">
        <v>285</v>
      </c>
      <c r="H105" s="155" t="s">
        <v>286</v>
      </c>
      <c r="I105" s="155">
        <v>-58619</v>
      </c>
      <c r="J105" s="155"/>
      <c r="K105" s="155"/>
      <c r="L105" s="155"/>
      <c r="M105" s="155"/>
      <c r="N105" s="155">
        <v>-58619</v>
      </c>
      <c r="O105" s="155"/>
      <c r="P105" s="155"/>
      <c r="Q105" s="155"/>
      <c r="R105" s="155"/>
      <c r="S105" s="155"/>
      <c r="T105" s="155"/>
      <c r="U105" s="155"/>
    </row>
    <row r="106" spans="1:46">
      <c r="A106" s="155" t="s">
        <v>196</v>
      </c>
      <c r="B106" s="155" t="s">
        <v>88</v>
      </c>
      <c r="C106" s="155" t="s">
        <v>283</v>
      </c>
      <c r="D106" s="155" t="s">
        <v>114</v>
      </c>
      <c r="E106" s="155" t="s">
        <v>90</v>
      </c>
      <c r="F106" s="155" t="s">
        <v>284</v>
      </c>
      <c r="G106" s="155" t="s">
        <v>287</v>
      </c>
      <c r="H106" s="155" t="s">
        <v>286</v>
      </c>
      <c r="I106" s="155">
        <v>-45397.16</v>
      </c>
      <c r="J106" s="155"/>
      <c r="K106" s="155"/>
      <c r="L106" s="155"/>
      <c r="M106" s="155"/>
      <c r="N106" s="155">
        <v>-45397.16</v>
      </c>
      <c r="O106" s="155"/>
      <c r="P106" s="155"/>
      <c r="Q106" s="155"/>
      <c r="R106" s="155"/>
      <c r="S106" s="155"/>
      <c r="T106" s="155"/>
      <c r="U106" s="155"/>
    </row>
    <row r="107" spans="1:46">
      <c r="A107" s="168" t="s">
        <v>196</v>
      </c>
      <c r="B107" s="168" t="s">
        <v>88</v>
      </c>
      <c r="C107" s="168" t="s">
        <v>283</v>
      </c>
      <c r="D107" s="168" t="s">
        <v>114</v>
      </c>
      <c r="E107" s="168" t="s">
        <v>90</v>
      </c>
      <c r="F107" s="168" t="s">
        <v>288</v>
      </c>
      <c r="G107" s="168" t="s">
        <v>289</v>
      </c>
      <c r="H107" s="168" t="s">
        <v>286</v>
      </c>
      <c r="I107" s="168">
        <v>-850000</v>
      </c>
      <c r="J107" s="168"/>
      <c r="K107" s="168"/>
      <c r="L107" s="168"/>
      <c r="M107" s="168"/>
      <c r="N107" s="168">
        <v>-850000</v>
      </c>
      <c r="O107" s="168"/>
      <c r="P107" s="168"/>
      <c r="Q107" s="168"/>
      <c r="R107" s="168"/>
      <c r="S107" s="168"/>
      <c r="T107" s="168"/>
      <c r="U107" s="168"/>
    </row>
    <row r="108" spans="1:46">
      <c r="A108" s="168" t="s">
        <v>196</v>
      </c>
      <c r="B108" s="168" t="s">
        <v>89</v>
      </c>
      <c r="C108" s="168" t="s">
        <v>195</v>
      </c>
      <c r="D108" s="168" t="s">
        <v>90</v>
      </c>
      <c r="E108" s="168" t="s">
        <v>114</v>
      </c>
      <c r="F108" s="168" t="s">
        <v>196</v>
      </c>
      <c r="G108" s="168" t="s">
        <v>197</v>
      </c>
      <c r="H108" s="168" t="s">
        <v>198</v>
      </c>
      <c r="I108" s="168">
        <v>315000</v>
      </c>
      <c r="J108" s="168"/>
      <c r="K108" s="168"/>
      <c r="L108" s="168"/>
      <c r="M108" s="168"/>
      <c r="N108" s="168">
        <v>315000</v>
      </c>
      <c r="O108" s="168"/>
      <c r="P108" s="168"/>
      <c r="Q108" s="168"/>
      <c r="R108" s="168"/>
      <c r="S108" s="168"/>
      <c r="T108" s="168"/>
      <c r="U108" s="168"/>
    </row>
    <row r="109" spans="1:46">
      <c r="A109" s="169" t="s">
        <v>196</v>
      </c>
      <c r="B109" s="169" t="s">
        <v>89</v>
      </c>
      <c r="C109" s="169" t="s">
        <v>269</v>
      </c>
      <c r="D109" s="169" t="s">
        <v>90</v>
      </c>
      <c r="E109" s="169" t="s">
        <v>114</v>
      </c>
      <c r="F109" s="169" t="s">
        <v>196</v>
      </c>
      <c r="G109" s="169" t="s">
        <v>274</v>
      </c>
      <c r="H109" s="169" t="s">
        <v>185</v>
      </c>
      <c r="I109" s="169">
        <v>799371.63</v>
      </c>
      <c r="J109" s="169"/>
      <c r="K109" s="169"/>
      <c r="L109" s="169"/>
      <c r="M109" s="169"/>
      <c r="N109" s="169">
        <v>799371.63</v>
      </c>
      <c r="O109" s="169"/>
      <c r="P109" s="169"/>
      <c r="Q109" s="169"/>
      <c r="R109" s="169"/>
      <c r="S109" s="169"/>
      <c r="T109" s="169"/>
      <c r="U109" s="169"/>
    </row>
    <row r="110" spans="1:46">
      <c r="A110" s="169" t="s">
        <v>196</v>
      </c>
      <c r="B110" s="169" t="s">
        <v>105</v>
      </c>
      <c r="C110" s="169" t="s">
        <v>290</v>
      </c>
      <c r="D110" s="169" t="s">
        <v>90</v>
      </c>
      <c r="E110" s="169" t="s">
        <v>114</v>
      </c>
      <c r="F110" s="169" t="s">
        <v>196</v>
      </c>
      <c r="G110" s="169" t="s">
        <v>291</v>
      </c>
      <c r="H110" s="169" t="s">
        <v>188</v>
      </c>
      <c r="I110" s="169">
        <v>393972</v>
      </c>
      <c r="J110" s="169">
        <v>393972</v>
      </c>
      <c r="K110" s="169"/>
      <c r="L110" s="169"/>
      <c r="M110" s="169"/>
      <c r="N110" s="169"/>
      <c r="O110" s="169"/>
      <c r="P110" s="169"/>
      <c r="Q110" s="169"/>
      <c r="R110" s="169"/>
      <c r="S110" s="169"/>
      <c r="T110" s="169"/>
      <c r="U110" s="169"/>
    </row>
    <row r="111" spans="1:46">
      <c r="A111" s="169" t="s">
        <v>196</v>
      </c>
      <c r="B111" s="169" t="s">
        <v>105</v>
      </c>
      <c r="C111" s="169" t="s">
        <v>278</v>
      </c>
      <c r="D111" s="169" t="s">
        <v>90</v>
      </c>
      <c r="E111" s="169" t="s">
        <v>114</v>
      </c>
      <c r="F111" s="169" t="s">
        <v>196</v>
      </c>
      <c r="G111" s="169" t="s">
        <v>270</v>
      </c>
      <c r="H111" s="169" t="s">
        <v>279</v>
      </c>
      <c r="I111" s="169">
        <v>439742</v>
      </c>
      <c r="J111" s="169">
        <v>439742</v>
      </c>
      <c r="K111" s="169"/>
      <c r="L111" s="169"/>
      <c r="M111" s="169"/>
      <c r="N111" s="169"/>
      <c r="O111" s="169"/>
      <c r="P111" s="169"/>
      <c r="Q111" s="169"/>
      <c r="R111" s="169"/>
      <c r="S111" s="169"/>
      <c r="T111" s="169"/>
      <c r="U111" s="169"/>
    </row>
    <row r="112" spans="1:46">
      <c r="A112" s="172" t="s">
        <v>196</v>
      </c>
      <c r="B112" s="172" t="s">
        <v>105</v>
      </c>
      <c r="C112" s="172" t="s">
        <v>278</v>
      </c>
      <c r="D112" s="172" t="s">
        <v>90</v>
      </c>
      <c r="E112" s="172" t="s">
        <v>114</v>
      </c>
      <c r="F112" s="172" t="s">
        <v>196</v>
      </c>
      <c r="G112" s="172" t="s">
        <v>277</v>
      </c>
      <c r="H112" s="172" t="s">
        <v>279</v>
      </c>
      <c r="I112" s="172">
        <v>520943</v>
      </c>
      <c r="J112" s="172">
        <v>520943</v>
      </c>
      <c r="K112" s="172"/>
      <c r="L112" s="172"/>
      <c r="M112" s="172"/>
      <c r="N112" s="172"/>
      <c r="O112" s="172"/>
      <c r="P112" s="172"/>
      <c r="Q112" s="172"/>
      <c r="R112" s="172"/>
      <c r="S112" s="172"/>
      <c r="T112" s="172"/>
      <c r="U112" s="172"/>
    </row>
    <row r="113" spans="1:21">
      <c r="A113" s="172" t="s">
        <v>196</v>
      </c>
      <c r="B113" s="172" t="s">
        <v>101</v>
      </c>
      <c r="C113" s="172" t="s">
        <v>290</v>
      </c>
      <c r="D113" s="172" t="s">
        <v>114</v>
      </c>
      <c r="E113" s="172" t="s">
        <v>90</v>
      </c>
      <c r="F113" s="172" t="s">
        <v>196</v>
      </c>
      <c r="G113" s="172" t="s">
        <v>291</v>
      </c>
      <c r="H113" s="172" t="s">
        <v>276</v>
      </c>
      <c r="I113" s="172">
        <v>-437747</v>
      </c>
      <c r="J113" s="172"/>
      <c r="K113" s="172"/>
      <c r="L113" s="172"/>
      <c r="M113" s="172"/>
      <c r="N113" s="172">
        <v>-437747</v>
      </c>
      <c r="O113" s="172"/>
      <c r="P113" s="172"/>
      <c r="Q113" s="172"/>
      <c r="R113" s="172"/>
      <c r="S113" s="172"/>
      <c r="T113" s="172"/>
      <c r="U113" s="172"/>
    </row>
    <row r="114" spans="1:21">
      <c r="A114" s="172" t="s">
        <v>196</v>
      </c>
      <c r="B114" s="172" t="s">
        <v>101</v>
      </c>
      <c r="C114" s="172" t="s">
        <v>278</v>
      </c>
      <c r="D114" s="172" t="s">
        <v>114</v>
      </c>
      <c r="E114" s="172" t="s">
        <v>90</v>
      </c>
      <c r="F114" s="172" t="s">
        <v>196</v>
      </c>
      <c r="G114" s="172" t="s">
        <v>270</v>
      </c>
      <c r="H114" s="172" t="s">
        <v>276</v>
      </c>
      <c r="I114" s="172">
        <v>-488602.22</v>
      </c>
      <c r="J114" s="172"/>
      <c r="K114" s="172"/>
      <c r="L114" s="172"/>
      <c r="M114" s="172"/>
      <c r="N114" s="172"/>
      <c r="O114" s="172"/>
      <c r="P114" s="172">
        <v>-488602.22</v>
      </c>
      <c r="Q114" s="172"/>
      <c r="R114" s="172"/>
      <c r="S114" s="172"/>
      <c r="T114" s="172"/>
      <c r="U114" s="172"/>
    </row>
    <row r="115" spans="1:21">
      <c r="A115" s="172" t="s">
        <v>196</v>
      </c>
      <c r="B115" s="172" t="s">
        <v>101</v>
      </c>
      <c r="C115" s="172" t="s">
        <v>278</v>
      </c>
      <c r="D115" s="172" t="s">
        <v>114</v>
      </c>
      <c r="E115" s="172" t="s">
        <v>90</v>
      </c>
      <c r="F115" s="172" t="s">
        <v>196</v>
      </c>
      <c r="G115" s="172" t="s">
        <v>277</v>
      </c>
      <c r="H115" s="172" t="s">
        <v>276</v>
      </c>
      <c r="I115" s="172">
        <v>-578826</v>
      </c>
      <c r="J115" s="172"/>
      <c r="K115" s="172"/>
      <c r="L115" s="172"/>
      <c r="M115" s="172"/>
      <c r="N115" s="172">
        <v>-578826</v>
      </c>
      <c r="O115" s="172"/>
      <c r="P115" s="172"/>
      <c r="Q115" s="172"/>
      <c r="R115" s="172"/>
      <c r="S115" s="172"/>
      <c r="T115" s="172"/>
      <c r="U115" s="172"/>
    </row>
    <row r="116" spans="1:21">
      <c r="A116" s="172" t="s">
        <v>196</v>
      </c>
      <c r="B116" s="172" t="s">
        <v>101</v>
      </c>
      <c r="C116" s="172" t="s">
        <v>280</v>
      </c>
      <c r="D116" s="172" t="s">
        <v>114</v>
      </c>
      <c r="E116" s="172" t="s">
        <v>142</v>
      </c>
      <c r="F116" s="172" t="s">
        <v>196</v>
      </c>
      <c r="G116" s="172" t="s">
        <v>281</v>
      </c>
      <c r="H116" s="172" t="s">
        <v>282</v>
      </c>
      <c r="I116" s="172">
        <v>-10000</v>
      </c>
      <c r="J116" s="172"/>
      <c r="K116" s="172"/>
      <c r="L116" s="172"/>
      <c r="M116" s="172">
        <v>-10000</v>
      </c>
      <c r="N116" s="172"/>
      <c r="O116" s="172"/>
      <c r="P116" s="172"/>
      <c r="Q116" s="172"/>
      <c r="R116" s="172"/>
      <c r="S116" s="172"/>
      <c r="T116" s="172"/>
      <c r="U116" s="172"/>
    </row>
    <row r="117" spans="1:21">
      <c r="A117" s="172" t="s">
        <v>284</v>
      </c>
      <c r="B117" s="172" t="s">
        <v>88</v>
      </c>
      <c r="C117" s="172" t="s">
        <v>306</v>
      </c>
      <c r="D117" s="172" t="s">
        <v>114</v>
      </c>
      <c r="E117" s="172" t="s">
        <v>90</v>
      </c>
      <c r="F117" s="172" t="s">
        <v>288</v>
      </c>
      <c r="G117" s="172" t="s">
        <v>307</v>
      </c>
      <c r="H117" s="172" t="s">
        <v>308</v>
      </c>
      <c r="I117" s="172">
        <v>-333272.34999999998</v>
      </c>
      <c r="J117" s="172"/>
      <c r="K117" s="172"/>
      <c r="L117" s="172"/>
      <c r="M117" s="172"/>
      <c r="N117" s="172"/>
      <c r="O117" s="172"/>
      <c r="P117" s="172">
        <v>-333272.34999999998</v>
      </c>
      <c r="Q117" s="172"/>
      <c r="R117" s="172"/>
      <c r="S117" s="172"/>
      <c r="T117" s="172"/>
      <c r="U117" s="172"/>
    </row>
    <row r="118" spans="1:21">
      <c r="A118" s="172" t="s">
        <v>284</v>
      </c>
      <c r="B118" s="172" t="s">
        <v>89</v>
      </c>
      <c r="C118" s="172" t="s">
        <v>283</v>
      </c>
      <c r="D118" s="172" t="s">
        <v>90</v>
      </c>
      <c r="E118" s="172" t="s">
        <v>114</v>
      </c>
      <c r="F118" s="172" t="s">
        <v>284</v>
      </c>
      <c r="G118" s="172" t="s">
        <v>285</v>
      </c>
      <c r="H118" s="172" t="s">
        <v>286</v>
      </c>
      <c r="I118" s="172">
        <v>58619</v>
      </c>
      <c r="J118" s="172"/>
      <c r="K118" s="172"/>
      <c r="L118" s="172"/>
      <c r="M118" s="172"/>
      <c r="N118" s="172">
        <v>58619</v>
      </c>
      <c r="O118" s="172"/>
      <c r="P118" s="172"/>
      <c r="Q118" s="172"/>
      <c r="R118" s="172"/>
      <c r="S118" s="172"/>
      <c r="T118" s="172"/>
      <c r="U118" s="172"/>
    </row>
    <row r="119" spans="1:21">
      <c r="A119" s="172" t="s">
        <v>284</v>
      </c>
      <c r="B119" s="172" t="s">
        <v>89</v>
      </c>
      <c r="C119" s="172" t="s">
        <v>283</v>
      </c>
      <c r="D119" s="172" t="s">
        <v>90</v>
      </c>
      <c r="E119" s="172" t="s">
        <v>114</v>
      </c>
      <c r="F119" s="172" t="s">
        <v>284</v>
      </c>
      <c r="G119" s="172" t="s">
        <v>287</v>
      </c>
      <c r="H119" s="172" t="s">
        <v>286</v>
      </c>
      <c r="I119" s="172">
        <v>45397.16</v>
      </c>
      <c r="J119" s="172"/>
      <c r="K119" s="172"/>
      <c r="L119" s="172"/>
      <c r="M119" s="172"/>
      <c r="N119" s="172">
        <v>45397.16</v>
      </c>
      <c r="O119" s="172"/>
      <c r="P119" s="172"/>
      <c r="Q119" s="172"/>
      <c r="R119" s="172"/>
      <c r="S119" s="172"/>
      <c r="T119" s="172"/>
      <c r="U119" s="172"/>
    </row>
    <row r="120" spans="1:21">
      <c r="A120" s="175" t="s">
        <v>284</v>
      </c>
      <c r="B120" s="175" t="s">
        <v>105</v>
      </c>
      <c r="C120" s="175" t="s">
        <v>292</v>
      </c>
      <c r="D120" s="175" t="s">
        <v>90</v>
      </c>
      <c r="E120" s="175" t="s">
        <v>114</v>
      </c>
      <c r="F120" s="175" t="s">
        <v>284</v>
      </c>
      <c r="G120" s="175" t="s">
        <v>293</v>
      </c>
      <c r="H120" s="175" t="s">
        <v>188</v>
      </c>
      <c r="I120" s="175">
        <v>664780</v>
      </c>
      <c r="J120" s="175">
        <v>664780</v>
      </c>
      <c r="K120" s="175"/>
      <c r="L120" s="175"/>
      <c r="M120" s="175"/>
      <c r="N120" s="175"/>
      <c r="O120" s="175"/>
      <c r="P120" s="175"/>
      <c r="Q120" s="175"/>
      <c r="R120" s="175"/>
      <c r="S120" s="175"/>
      <c r="T120" s="175"/>
      <c r="U120" s="175"/>
    </row>
    <row r="121" spans="1:21">
      <c r="A121" s="175" t="s">
        <v>284</v>
      </c>
      <c r="B121" s="175" t="s">
        <v>105</v>
      </c>
      <c r="C121" s="175" t="s">
        <v>294</v>
      </c>
      <c r="D121" s="175" t="s">
        <v>90</v>
      </c>
      <c r="E121" s="175" t="s">
        <v>114</v>
      </c>
      <c r="F121" s="175" t="s">
        <v>284</v>
      </c>
      <c r="G121" s="175" t="s">
        <v>295</v>
      </c>
      <c r="H121" s="175" t="s">
        <v>296</v>
      </c>
      <c r="I121" s="175">
        <v>76701.66</v>
      </c>
      <c r="J121" s="175"/>
      <c r="K121" s="175"/>
      <c r="L121" s="175"/>
      <c r="M121" s="175"/>
      <c r="N121" s="175">
        <v>76701.66</v>
      </c>
      <c r="O121" s="175"/>
      <c r="P121" s="175"/>
      <c r="Q121" s="175"/>
      <c r="R121" s="175"/>
      <c r="S121" s="175"/>
      <c r="T121" s="175"/>
      <c r="U121" s="175"/>
    </row>
    <row r="122" spans="1:21">
      <c r="A122" s="175" t="s">
        <v>284</v>
      </c>
      <c r="B122" s="175" t="s">
        <v>105</v>
      </c>
      <c r="C122" s="175" t="s">
        <v>297</v>
      </c>
      <c r="D122" s="175" t="s">
        <v>90</v>
      </c>
      <c r="E122" s="175" t="s">
        <v>114</v>
      </c>
      <c r="F122" s="175" t="s">
        <v>284</v>
      </c>
      <c r="G122" s="175" t="s">
        <v>298</v>
      </c>
      <c r="H122" s="175" t="s">
        <v>299</v>
      </c>
      <c r="I122" s="175">
        <v>755300</v>
      </c>
      <c r="J122" s="175">
        <v>755300</v>
      </c>
      <c r="K122" s="175"/>
      <c r="L122" s="175"/>
      <c r="M122" s="175"/>
      <c r="N122" s="175"/>
      <c r="O122" s="175"/>
      <c r="P122" s="175"/>
      <c r="Q122" s="175"/>
      <c r="R122" s="175"/>
      <c r="S122" s="175"/>
      <c r="T122" s="175"/>
      <c r="U122" s="175"/>
    </row>
    <row r="123" spans="1:21">
      <c r="A123" s="175" t="s">
        <v>284</v>
      </c>
      <c r="B123" s="175" t="s">
        <v>101</v>
      </c>
      <c r="C123" s="175" t="s">
        <v>292</v>
      </c>
      <c r="D123" s="175" t="s">
        <v>114</v>
      </c>
      <c r="E123" s="175" t="s">
        <v>90</v>
      </c>
      <c r="F123" s="175" t="s">
        <v>284</v>
      </c>
      <c r="G123" s="175" t="s">
        <v>293</v>
      </c>
      <c r="H123" s="175" t="s">
        <v>276</v>
      </c>
      <c r="I123" s="175">
        <v>-738644</v>
      </c>
      <c r="J123" s="175"/>
      <c r="K123" s="175"/>
      <c r="L123" s="175"/>
      <c r="M123" s="175"/>
      <c r="N123" s="175">
        <v>-738644</v>
      </c>
      <c r="O123" s="175"/>
      <c r="P123" s="175"/>
      <c r="Q123" s="175"/>
      <c r="R123" s="175"/>
      <c r="S123" s="175"/>
      <c r="T123" s="175"/>
      <c r="U123" s="175"/>
    </row>
    <row r="124" spans="1:21">
      <c r="A124" s="175" t="s">
        <v>284</v>
      </c>
      <c r="B124" s="175" t="s">
        <v>101</v>
      </c>
      <c r="C124" s="175" t="s">
        <v>294</v>
      </c>
      <c r="D124" s="175" t="s">
        <v>114</v>
      </c>
      <c r="E124" s="175" t="s">
        <v>90</v>
      </c>
      <c r="F124" s="175" t="s">
        <v>284</v>
      </c>
      <c r="G124" s="175" t="s">
        <v>295</v>
      </c>
      <c r="H124" s="175" t="s">
        <v>300</v>
      </c>
      <c r="I124" s="175">
        <v>-69031.5</v>
      </c>
      <c r="J124" s="175">
        <v>-69031.5</v>
      </c>
      <c r="K124" s="175"/>
      <c r="L124" s="175"/>
      <c r="M124" s="175"/>
      <c r="N124" s="175"/>
      <c r="O124" s="175"/>
      <c r="P124" s="175"/>
      <c r="Q124" s="175"/>
      <c r="R124" s="175"/>
      <c r="S124" s="175"/>
      <c r="T124" s="175"/>
      <c r="U124" s="175"/>
    </row>
    <row r="125" spans="1:21">
      <c r="A125" s="175" t="s">
        <v>284</v>
      </c>
      <c r="B125" s="175" t="s">
        <v>101</v>
      </c>
      <c r="C125" s="175" t="s">
        <v>297</v>
      </c>
      <c r="D125" s="175" t="s">
        <v>114</v>
      </c>
      <c r="E125" s="175" t="s">
        <v>90</v>
      </c>
      <c r="F125" s="175" t="s">
        <v>284</v>
      </c>
      <c r="G125" s="175" t="s">
        <v>298</v>
      </c>
      <c r="H125" s="175" t="s">
        <v>301</v>
      </c>
      <c r="I125" s="175">
        <v>-839222.22</v>
      </c>
      <c r="J125" s="175"/>
      <c r="K125" s="175"/>
      <c r="L125" s="175"/>
      <c r="M125" s="175"/>
      <c r="N125" s="175">
        <v>-839222.22</v>
      </c>
      <c r="O125" s="175"/>
      <c r="P125" s="175"/>
      <c r="Q125" s="175"/>
      <c r="R125" s="175"/>
      <c r="S125" s="175"/>
      <c r="T125" s="175"/>
      <c r="U125" s="175"/>
    </row>
    <row r="126" spans="1:21">
      <c r="A126" s="16" t="s">
        <v>288</v>
      </c>
      <c r="B126" s="16" t="s">
        <v>88</v>
      </c>
      <c r="C126" s="16" t="s">
        <v>323</v>
      </c>
      <c r="D126" s="16" t="s">
        <v>114</v>
      </c>
      <c r="E126" s="16" t="s">
        <v>90</v>
      </c>
      <c r="F126" s="16" t="s">
        <v>324</v>
      </c>
      <c r="G126" s="16" t="s">
        <v>325</v>
      </c>
      <c r="H126" s="16" t="s">
        <v>308</v>
      </c>
      <c r="I126" s="16">
        <v>-227372.35</v>
      </c>
      <c r="P126" s="16">
        <v>-227372.35</v>
      </c>
    </row>
    <row r="127" spans="1:21">
      <c r="A127" s="16" t="s">
        <v>288</v>
      </c>
      <c r="B127" s="16" t="s">
        <v>88</v>
      </c>
      <c r="C127" s="16" t="s">
        <v>323</v>
      </c>
      <c r="D127" s="16" t="s">
        <v>114</v>
      </c>
      <c r="E127" s="16" t="s">
        <v>90</v>
      </c>
      <c r="F127" s="16" t="s">
        <v>324</v>
      </c>
      <c r="G127" s="16" t="s">
        <v>326</v>
      </c>
      <c r="H127" s="16" t="s">
        <v>327</v>
      </c>
      <c r="I127" s="16">
        <v>-202434</v>
      </c>
      <c r="N127" s="16">
        <v>-202434</v>
      </c>
    </row>
    <row r="128" spans="1:21">
      <c r="A128" s="16" t="s">
        <v>288</v>
      </c>
      <c r="B128" s="16" t="s">
        <v>89</v>
      </c>
      <c r="C128" s="16" t="s">
        <v>283</v>
      </c>
      <c r="D128" s="16" t="s">
        <v>90</v>
      </c>
      <c r="E128" s="16" t="s">
        <v>114</v>
      </c>
      <c r="F128" s="16" t="s">
        <v>288</v>
      </c>
      <c r="G128" s="16" t="s">
        <v>289</v>
      </c>
      <c r="H128" s="16" t="s">
        <v>286</v>
      </c>
      <c r="I128" s="16">
        <v>850000</v>
      </c>
      <c r="N128" s="16">
        <v>850000</v>
      </c>
    </row>
    <row r="129" spans="1:21">
      <c r="A129" s="183" t="s">
        <v>288</v>
      </c>
      <c r="B129" s="183" t="s">
        <v>89</v>
      </c>
      <c r="C129" s="183" t="s">
        <v>306</v>
      </c>
      <c r="D129" s="183" t="s">
        <v>90</v>
      </c>
      <c r="E129" s="183" t="s">
        <v>114</v>
      </c>
      <c r="F129" s="183" t="s">
        <v>288</v>
      </c>
      <c r="G129" s="183" t="s">
        <v>307</v>
      </c>
      <c r="H129" s="183" t="s">
        <v>308</v>
      </c>
      <c r="I129" s="183">
        <v>333272.34999999998</v>
      </c>
      <c r="J129" s="183"/>
      <c r="K129" s="183"/>
      <c r="L129" s="183"/>
      <c r="M129" s="183"/>
      <c r="N129" s="183"/>
      <c r="O129" s="183"/>
      <c r="P129" s="183">
        <v>333272.34999999998</v>
      </c>
      <c r="Q129" s="183"/>
      <c r="R129" s="183"/>
      <c r="S129" s="183"/>
      <c r="T129" s="183"/>
      <c r="U129" s="183"/>
    </row>
    <row r="130" spans="1:21">
      <c r="A130" s="183" t="s">
        <v>288</v>
      </c>
      <c r="B130" s="183" t="s">
        <v>105</v>
      </c>
      <c r="C130" s="183" t="s">
        <v>314</v>
      </c>
      <c r="D130" s="183" t="s">
        <v>90</v>
      </c>
      <c r="E130" s="183" t="s">
        <v>114</v>
      </c>
      <c r="F130" s="183" t="s">
        <v>288</v>
      </c>
      <c r="G130" s="183" t="s">
        <v>305</v>
      </c>
      <c r="H130" s="183" t="s">
        <v>188</v>
      </c>
      <c r="I130" s="183">
        <v>555300</v>
      </c>
      <c r="J130" s="183">
        <v>555300</v>
      </c>
      <c r="K130" s="183"/>
      <c r="L130" s="183"/>
      <c r="M130" s="183"/>
      <c r="N130" s="183"/>
      <c r="O130" s="183"/>
      <c r="P130" s="183"/>
      <c r="Q130" s="183"/>
      <c r="R130" s="183"/>
      <c r="S130" s="183"/>
      <c r="T130" s="183"/>
      <c r="U130" s="183"/>
    </row>
    <row r="131" spans="1:21">
      <c r="A131" s="186" t="s">
        <v>288</v>
      </c>
      <c r="B131" s="186" t="s">
        <v>105</v>
      </c>
      <c r="C131" s="186" t="s">
        <v>320</v>
      </c>
      <c r="D131" s="186" t="s">
        <v>90</v>
      </c>
      <c r="E131" s="186" t="s">
        <v>114</v>
      </c>
      <c r="F131" s="186" t="s">
        <v>288</v>
      </c>
      <c r="G131" s="186" t="s">
        <v>319</v>
      </c>
      <c r="H131" s="186" t="s">
        <v>188</v>
      </c>
      <c r="I131" s="186">
        <v>38135</v>
      </c>
      <c r="J131" s="186">
        <v>38135</v>
      </c>
      <c r="K131" s="186"/>
      <c r="L131" s="186"/>
      <c r="M131" s="186"/>
      <c r="N131" s="186"/>
      <c r="O131" s="186"/>
      <c r="P131" s="186"/>
      <c r="Q131" s="186"/>
      <c r="R131" s="186"/>
      <c r="S131" s="186"/>
      <c r="T131" s="186"/>
      <c r="U131" s="186"/>
    </row>
    <row r="132" spans="1:21">
      <c r="A132" s="186" t="s">
        <v>288</v>
      </c>
      <c r="B132" s="186" t="s">
        <v>105</v>
      </c>
      <c r="C132" s="186" t="s">
        <v>321</v>
      </c>
      <c r="D132" s="186" t="s">
        <v>90</v>
      </c>
      <c r="E132" s="186" t="s">
        <v>114</v>
      </c>
      <c r="F132" s="186" t="s">
        <v>288</v>
      </c>
      <c r="G132" s="186" t="s">
        <v>318</v>
      </c>
      <c r="H132" s="186" t="s">
        <v>188</v>
      </c>
      <c r="I132" s="186">
        <v>896665</v>
      </c>
      <c r="J132" s="186">
        <v>896665</v>
      </c>
      <c r="K132" s="186"/>
      <c r="L132" s="186"/>
      <c r="M132" s="186"/>
      <c r="N132" s="186"/>
      <c r="O132" s="186"/>
      <c r="P132" s="186"/>
      <c r="Q132" s="186"/>
      <c r="R132" s="186"/>
      <c r="S132" s="186"/>
      <c r="T132" s="186"/>
      <c r="U132" s="186"/>
    </row>
    <row r="133" spans="1:21">
      <c r="A133" s="187" t="s">
        <v>288</v>
      </c>
      <c r="B133" s="187" t="s">
        <v>105</v>
      </c>
      <c r="C133" s="187" t="s">
        <v>362</v>
      </c>
      <c r="D133" s="187" t="s">
        <v>90</v>
      </c>
      <c r="E133" s="187" t="s">
        <v>114</v>
      </c>
      <c r="F133" s="187" t="s">
        <v>288</v>
      </c>
      <c r="G133" s="187" t="s">
        <v>363</v>
      </c>
      <c r="H133" s="187" t="s">
        <v>364</v>
      </c>
      <c r="I133" s="187">
        <v>161864</v>
      </c>
      <c r="J133" s="187">
        <v>161864</v>
      </c>
      <c r="K133" s="187"/>
      <c r="L133" s="187"/>
      <c r="M133" s="187"/>
      <c r="N133" s="187"/>
      <c r="O133" s="187"/>
      <c r="P133" s="187"/>
      <c r="Q133" s="187"/>
      <c r="R133" s="187"/>
      <c r="S133" s="187"/>
      <c r="T133" s="187"/>
      <c r="U133" s="187"/>
    </row>
    <row r="134" spans="1:21">
      <c r="A134" s="187" t="s">
        <v>288</v>
      </c>
      <c r="B134" s="187" t="s">
        <v>101</v>
      </c>
      <c r="C134" s="187" t="s">
        <v>314</v>
      </c>
      <c r="D134" s="187" t="s">
        <v>114</v>
      </c>
      <c r="E134" s="187" t="s">
        <v>90</v>
      </c>
      <c r="F134" s="187" t="s">
        <v>288</v>
      </c>
      <c r="G134" s="187" t="s">
        <v>305</v>
      </c>
      <c r="H134" s="187" t="s">
        <v>315</v>
      </c>
      <c r="I134" s="187">
        <v>-617000</v>
      </c>
      <c r="J134" s="187"/>
      <c r="K134" s="187"/>
      <c r="L134" s="187"/>
      <c r="M134" s="187"/>
      <c r="N134" s="187">
        <v>-617000</v>
      </c>
      <c r="O134" s="187"/>
      <c r="P134" s="187"/>
      <c r="Q134" s="187"/>
      <c r="R134" s="187"/>
      <c r="S134" s="187"/>
      <c r="T134" s="187"/>
      <c r="U134" s="187"/>
    </row>
    <row r="135" spans="1:21">
      <c r="A135" s="187" t="s">
        <v>288</v>
      </c>
      <c r="B135" s="187" t="s">
        <v>101</v>
      </c>
      <c r="C135" s="187" t="s">
        <v>320</v>
      </c>
      <c r="D135" s="187" t="s">
        <v>114</v>
      </c>
      <c r="E135" s="187" t="s">
        <v>90</v>
      </c>
      <c r="F135" s="187" t="s">
        <v>288</v>
      </c>
      <c r="G135" s="187" t="s">
        <v>319</v>
      </c>
      <c r="H135" s="187" t="s">
        <v>276</v>
      </c>
      <c r="I135" s="187">
        <v>-42372</v>
      </c>
      <c r="J135" s="187"/>
      <c r="K135" s="187"/>
      <c r="L135" s="187"/>
      <c r="M135" s="187"/>
      <c r="N135" s="187">
        <v>-42372</v>
      </c>
      <c r="O135" s="187"/>
      <c r="P135" s="187"/>
      <c r="Q135" s="187"/>
      <c r="R135" s="187"/>
      <c r="S135" s="187"/>
      <c r="T135" s="187"/>
      <c r="U135" s="187"/>
    </row>
    <row r="136" spans="1:21">
      <c r="A136" s="187" t="s">
        <v>288</v>
      </c>
      <c r="B136" s="187" t="s">
        <v>101</v>
      </c>
      <c r="C136" s="187" t="s">
        <v>321</v>
      </c>
      <c r="D136" s="187" t="s">
        <v>114</v>
      </c>
      <c r="E136" s="187" t="s">
        <v>90</v>
      </c>
      <c r="F136" s="187" t="s">
        <v>288</v>
      </c>
      <c r="G136" s="187" t="s">
        <v>318</v>
      </c>
      <c r="H136" s="187" t="s">
        <v>322</v>
      </c>
      <c r="I136" s="187">
        <v>-996294.44</v>
      </c>
      <c r="J136" s="187"/>
      <c r="K136" s="187"/>
      <c r="L136" s="187"/>
      <c r="M136" s="187"/>
      <c r="N136" s="187"/>
      <c r="O136" s="187"/>
      <c r="P136" s="187">
        <v>-996294.44</v>
      </c>
      <c r="Q136" s="187"/>
      <c r="R136" s="187"/>
      <c r="S136" s="187"/>
      <c r="T136" s="187"/>
      <c r="U136" s="187"/>
    </row>
    <row r="137" spans="1:21">
      <c r="A137" s="187" t="s">
        <v>288</v>
      </c>
      <c r="B137" s="187" t="s">
        <v>101</v>
      </c>
      <c r="C137" s="187" t="s">
        <v>362</v>
      </c>
      <c r="D137" s="187" t="s">
        <v>114</v>
      </c>
      <c r="E137" s="187" t="s">
        <v>90</v>
      </c>
      <c r="F137" s="187" t="s">
        <v>288</v>
      </c>
      <c r="G137" s="187" t="s">
        <v>363</v>
      </c>
      <c r="H137" s="187" t="s">
        <v>365</v>
      </c>
      <c r="I137" s="187">
        <v>-179849</v>
      </c>
      <c r="J137" s="187"/>
      <c r="K137" s="187"/>
      <c r="L137" s="187"/>
      <c r="M137" s="187"/>
      <c r="N137" s="187">
        <v>-179849</v>
      </c>
      <c r="O137" s="187"/>
      <c r="P137" s="187"/>
      <c r="Q137" s="187"/>
      <c r="R137" s="187"/>
      <c r="S137" s="187"/>
      <c r="T137" s="187"/>
      <c r="U137" s="187"/>
    </row>
    <row r="138" spans="1:21">
      <c r="A138" s="187" t="s">
        <v>288</v>
      </c>
      <c r="B138" s="187" t="s">
        <v>101</v>
      </c>
      <c r="C138" s="187" t="s">
        <v>309</v>
      </c>
      <c r="D138" s="187" t="s">
        <v>114</v>
      </c>
      <c r="E138" s="187" t="s">
        <v>142</v>
      </c>
      <c r="F138" s="187" t="s">
        <v>288</v>
      </c>
      <c r="G138" s="187" t="s">
        <v>310</v>
      </c>
      <c r="H138" s="187" t="s">
        <v>311</v>
      </c>
      <c r="I138" s="187">
        <v>-54480</v>
      </c>
      <c r="J138" s="187"/>
      <c r="K138" s="187"/>
      <c r="L138" s="187"/>
      <c r="M138" s="187"/>
      <c r="N138" s="187">
        <v>-54480</v>
      </c>
      <c r="O138" s="187"/>
      <c r="P138" s="187"/>
      <c r="Q138" s="187"/>
      <c r="R138" s="187"/>
      <c r="S138" s="187"/>
      <c r="T138" s="187"/>
      <c r="U138" s="187"/>
    </row>
    <row r="139" spans="1:21">
      <c r="A139" s="189" t="s">
        <v>324</v>
      </c>
      <c r="B139" s="189" t="s">
        <v>88</v>
      </c>
      <c r="C139" s="189" t="s">
        <v>371</v>
      </c>
      <c r="D139" s="189" t="s">
        <v>114</v>
      </c>
      <c r="E139" s="189" t="s">
        <v>93</v>
      </c>
      <c r="F139" s="189" t="s">
        <v>372</v>
      </c>
      <c r="G139" s="189" t="s">
        <v>373</v>
      </c>
      <c r="H139" s="189" t="s">
        <v>374</v>
      </c>
      <c r="I139" s="189">
        <v>-749250</v>
      </c>
      <c r="J139" s="189"/>
      <c r="K139" s="189"/>
      <c r="L139" s="189"/>
      <c r="M139" s="189"/>
      <c r="N139" s="189">
        <v>-749250</v>
      </c>
      <c r="O139" s="189"/>
      <c r="P139" s="189"/>
      <c r="Q139" s="189"/>
      <c r="R139" s="189"/>
      <c r="S139" s="189"/>
      <c r="T139" s="189"/>
      <c r="U139" s="189"/>
    </row>
    <row r="140" spans="1:21">
      <c r="A140" s="189" t="s">
        <v>324</v>
      </c>
      <c r="B140" s="189" t="s">
        <v>89</v>
      </c>
      <c r="C140" s="189" t="s">
        <v>323</v>
      </c>
      <c r="D140" s="189" t="s">
        <v>90</v>
      </c>
      <c r="E140" s="189" t="s">
        <v>114</v>
      </c>
      <c r="F140" s="189" t="s">
        <v>324</v>
      </c>
      <c r="G140" s="189" t="s">
        <v>325</v>
      </c>
      <c r="H140" s="189" t="s">
        <v>308</v>
      </c>
      <c r="I140" s="189">
        <v>227372.35</v>
      </c>
      <c r="J140" s="189"/>
      <c r="K140" s="189"/>
      <c r="L140" s="189"/>
      <c r="M140" s="189"/>
      <c r="N140" s="189"/>
      <c r="O140" s="189"/>
      <c r="P140" s="189">
        <v>227372.35</v>
      </c>
      <c r="Q140" s="189"/>
      <c r="R140" s="189"/>
      <c r="S140" s="189"/>
      <c r="T140" s="189"/>
      <c r="U140" s="189"/>
    </row>
    <row r="141" spans="1:21">
      <c r="A141" s="16" t="s">
        <v>324</v>
      </c>
      <c r="B141" s="16" t="s">
        <v>89</v>
      </c>
      <c r="C141" s="16" t="s">
        <v>323</v>
      </c>
      <c r="D141" s="16" t="s">
        <v>90</v>
      </c>
      <c r="E141" s="16" t="s">
        <v>114</v>
      </c>
      <c r="F141" s="16" t="s">
        <v>324</v>
      </c>
      <c r="G141" s="16" t="s">
        <v>326</v>
      </c>
      <c r="H141" s="16" t="s">
        <v>327</v>
      </c>
      <c r="I141" s="16">
        <v>202434</v>
      </c>
      <c r="N141" s="16">
        <v>202434</v>
      </c>
    </row>
    <row r="142" spans="1:21">
      <c r="A142" s="16" t="s">
        <v>372</v>
      </c>
      <c r="B142" s="16" t="s">
        <v>89</v>
      </c>
      <c r="C142" s="16" t="s">
        <v>371</v>
      </c>
      <c r="D142" s="16" t="s">
        <v>93</v>
      </c>
      <c r="E142" s="16" t="s">
        <v>114</v>
      </c>
      <c r="F142" s="16" t="s">
        <v>372</v>
      </c>
      <c r="G142" s="16" t="s">
        <v>373</v>
      </c>
      <c r="H142" s="16" t="s">
        <v>374</v>
      </c>
      <c r="I142" s="16">
        <v>749250</v>
      </c>
      <c r="N142" s="16">
        <v>749250</v>
      </c>
    </row>
    <row r="143" spans="1:21">
      <c r="A143" s="186"/>
      <c r="B143" s="186"/>
      <c r="C143" s="186"/>
      <c r="D143" s="186"/>
      <c r="E143" s="186"/>
      <c r="F143" s="186"/>
      <c r="G143" s="186"/>
      <c r="H143" s="186"/>
      <c r="I143" s="186"/>
      <c r="J143" s="186"/>
      <c r="K143" s="186"/>
      <c r="L143" s="186"/>
      <c r="M143" s="186"/>
      <c r="N143" s="186"/>
      <c r="O143" s="186"/>
      <c r="P143" s="186"/>
      <c r="Q143" s="186"/>
      <c r="R143" s="186"/>
      <c r="S143" s="186"/>
      <c r="T143" s="186"/>
      <c r="U143" s="186"/>
    </row>
    <row r="144" spans="1:21">
      <c r="A144" s="186"/>
      <c r="B144" s="186"/>
      <c r="C144" s="186"/>
      <c r="D144" s="186"/>
      <c r="E144" s="186"/>
      <c r="F144" s="186"/>
      <c r="G144" s="186"/>
      <c r="H144" s="186"/>
      <c r="I144" s="186"/>
      <c r="J144" s="186"/>
      <c r="K144" s="186"/>
      <c r="L144" s="186"/>
      <c r="M144" s="186"/>
      <c r="N144" s="186"/>
      <c r="O144" s="186"/>
      <c r="P144" s="186"/>
      <c r="Q144" s="186"/>
      <c r="R144" s="186"/>
      <c r="S144" s="186"/>
      <c r="T144" s="186"/>
      <c r="U144" s="186"/>
    </row>
    <row r="145" spans="1:21">
      <c r="A145" s="186"/>
      <c r="B145" s="186"/>
      <c r="C145" s="186"/>
      <c r="D145" s="186"/>
      <c r="E145" s="186"/>
      <c r="F145" s="186"/>
      <c r="G145" s="186"/>
      <c r="H145" s="186"/>
      <c r="I145" s="186"/>
      <c r="J145" s="186"/>
      <c r="K145" s="186"/>
      <c r="L145" s="186"/>
      <c r="M145" s="186"/>
      <c r="N145" s="186"/>
      <c r="O145" s="186"/>
      <c r="P145" s="186"/>
      <c r="Q145" s="186"/>
      <c r="R145" s="186"/>
      <c r="S145" s="186"/>
      <c r="T145" s="186"/>
      <c r="U145" s="186"/>
    </row>
    <row r="146" spans="1:21">
      <c r="A146" s="186"/>
      <c r="B146" s="186"/>
      <c r="C146" s="186"/>
      <c r="D146" s="186"/>
      <c r="E146" s="186"/>
      <c r="F146" s="186"/>
      <c r="G146" s="186"/>
      <c r="H146" s="186"/>
      <c r="I146" s="186"/>
      <c r="J146" s="186"/>
      <c r="K146" s="186"/>
      <c r="L146" s="186"/>
      <c r="M146" s="186"/>
      <c r="N146" s="186"/>
      <c r="O146" s="186"/>
      <c r="P146" s="186"/>
      <c r="Q146" s="186"/>
      <c r="R146" s="186"/>
      <c r="S146" s="186"/>
      <c r="T146" s="186"/>
      <c r="U146" s="186"/>
    </row>
    <row r="147" spans="1:21">
      <c r="A147" s="186"/>
      <c r="B147" s="186"/>
      <c r="C147" s="186"/>
      <c r="D147" s="186"/>
      <c r="E147" s="186"/>
      <c r="F147" s="186"/>
      <c r="G147" s="186"/>
      <c r="H147" s="186"/>
      <c r="I147" s="186"/>
      <c r="J147" s="186"/>
      <c r="K147" s="186"/>
      <c r="L147" s="186"/>
      <c r="M147" s="186"/>
      <c r="N147" s="186"/>
      <c r="O147" s="186"/>
      <c r="P147" s="186"/>
      <c r="Q147" s="186"/>
      <c r="R147" s="186"/>
      <c r="S147" s="186"/>
      <c r="T147" s="186"/>
      <c r="U147" s="186"/>
    </row>
    <row r="148" spans="1:21">
      <c r="A148" s="186"/>
      <c r="B148" s="186"/>
      <c r="C148" s="186"/>
      <c r="D148" s="186"/>
      <c r="E148" s="186"/>
      <c r="F148" s="186"/>
      <c r="G148" s="186"/>
      <c r="H148" s="186"/>
      <c r="I148" s="186"/>
      <c r="J148" s="186"/>
      <c r="K148" s="186"/>
      <c r="L148" s="186"/>
      <c r="M148" s="186"/>
      <c r="N148" s="186"/>
      <c r="O148" s="186"/>
      <c r="P148" s="186"/>
      <c r="Q148" s="186"/>
      <c r="R148" s="186"/>
      <c r="S148" s="186"/>
      <c r="T148" s="186"/>
      <c r="U148" s="186"/>
    </row>
    <row r="149" spans="1:21">
      <c r="A149" s="186"/>
      <c r="B149" s="186"/>
      <c r="C149" s="186"/>
      <c r="D149" s="186"/>
      <c r="E149" s="186"/>
      <c r="F149" s="186"/>
      <c r="G149" s="186"/>
      <c r="H149" s="186"/>
      <c r="I149" s="186"/>
      <c r="J149" s="186"/>
      <c r="K149" s="186"/>
      <c r="L149" s="186"/>
      <c r="M149" s="186"/>
      <c r="N149" s="186"/>
      <c r="O149" s="186"/>
      <c r="P149" s="186"/>
      <c r="Q149" s="186"/>
      <c r="R149" s="186"/>
      <c r="S149" s="186"/>
      <c r="T149" s="186"/>
      <c r="U149" s="186"/>
    </row>
    <row r="150" spans="1:21">
      <c r="A150" s="186"/>
      <c r="B150" s="186"/>
      <c r="C150" s="186"/>
      <c r="D150" s="186"/>
      <c r="E150" s="186"/>
      <c r="F150" s="186"/>
      <c r="G150" s="186"/>
      <c r="H150" s="186"/>
      <c r="I150" s="186"/>
      <c r="J150" s="186"/>
      <c r="K150" s="186"/>
      <c r="L150" s="186"/>
      <c r="M150" s="186"/>
      <c r="N150" s="186"/>
      <c r="O150" s="186"/>
      <c r="P150" s="186"/>
      <c r="Q150" s="186"/>
      <c r="R150" s="186"/>
      <c r="S150" s="186"/>
      <c r="T150" s="186"/>
      <c r="U150" s="186"/>
    </row>
    <row r="151" spans="1:21">
      <c r="A151" s="186"/>
      <c r="B151" s="186"/>
      <c r="C151" s="186"/>
      <c r="D151" s="186"/>
      <c r="E151" s="186"/>
      <c r="F151" s="186"/>
      <c r="G151" s="186"/>
      <c r="H151" s="186"/>
      <c r="I151" s="186"/>
      <c r="J151" s="186"/>
      <c r="K151" s="186"/>
      <c r="L151" s="186"/>
      <c r="M151" s="186"/>
      <c r="N151" s="186"/>
      <c r="O151" s="186"/>
      <c r="P151" s="186"/>
      <c r="Q151" s="186"/>
      <c r="R151" s="186"/>
      <c r="S151" s="186"/>
      <c r="T151" s="186"/>
      <c r="U151" s="186"/>
    </row>
    <row r="152" spans="1:21">
      <c r="A152" s="186"/>
      <c r="B152" s="186"/>
      <c r="C152" s="186"/>
      <c r="D152" s="186"/>
      <c r="E152" s="186"/>
      <c r="F152" s="186"/>
      <c r="G152" s="186"/>
      <c r="H152" s="186"/>
      <c r="I152" s="186"/>
      <c r="J152" s="186"/>
      <c r="K152" s="186"/>
      <c r="L152" s="186"/>
      <c r="M152" s="186"/>
      <c r="N152" s="186"/>
      <c r="O152" s="186"/>
      <c r="P152" s="186"/>
      <c r="Q152" s="186"/>
      <c r="R152" s="186"/>
      <c r="S152" s="186"/>
      <c r="T152" s="186"/>
      <c r="U152" s="186"/>
    </row>
    <row r="153" spans="1:21">
      <c r="A153" s="186"/>
      <c r="B153" s="186"/>
      <c r="C153" s="186"/>
      <c r="D153" s="186"/>
      <c r="E153" s="186"/>
      <c r="F153" s="186"/>
      <c r="G153" s="186"/>
      <c r="H153" s="186"/>
      <c r="I153" s="186"/>
      <c r="J153" s="186"/>
      <c r="K153" s="186"/>
      <c r="L153" s="186"/>
      <c r="M153" s="186"/>
      <c r="N153" s="186"/>
      <c r="O153" s="186"/>
      <c r="P153" s="186"/>
      <c r="Q153" s="186"/>
      <c r="R153" s="186"/>
      <c r="S153" s="186"/>
      <c r="T153" s="186"/>
      <c r="U153" s="186"/>
    </row>
    <row r="154" spans="1:21">
      <c r="A154" s="186"/>
      <c r="B154" s="186"/>
      <c r="C154" s="186"/>
      <c r="D154" s="186"/>
      <c r="E154" s="186"/>
      <c r="F154" s="186"/>
      <c r="G154" s="186"/>
      <c r="H154" s="186"/>
      <c r="I154" s="186"/>
      <c r="J154" s="186"/>
      <c r="K154" s="186"/>
      <c r="L154" s="186"/>
      <c r="M154" s="186"/>
      <c r="N154" s="186"/>
      <c r="O154" s="186"/>
      <c r="P154" s="186"/>
      <c r="Q154" s="186"/>
      <c r="R154" s="186"/>
      <c r="S154" s="186"/>
      <c r="T154" s="186"/>
      <c r="U154" s="186"/>
    </row>
    <row r="155" spans="1:21">
      <c r="A155" s="186"/>
      <c r="B155" s="186"/>
      <c r="C155" s="186"/>
      <c r="D155" s="186"/>
      <c r="E155" s="186"/>
      <c r="F155" s="186"/>
      <c r="G155" s="186"/>
      <c r="H155" s="186"/>
      <c r="I155" s="186"/>
      <c r="J155" s="186"/>
      <c r="K155" s="186"/>
      <c r="L155" s="186"/>
      <c r="M155" s="186"/>
      <c r="N155" s="186"/>
      <c r="O155" s="186"/>
      <c r="P155" s="186"/>
      <c r="Q155" s="186"/>
      <c r="R155" s="186"/>
      <c r="S155" s="186"/>
      <c r="T155" s="186"/>
      <c r="U155" s="186"/>
    </row>
    <row r="156" spans="1:21">
      <c r="A156" s="186"/>
      <c r="B156" s="186"/>
      <c r="C156" s="186"/>
      <c r="D156" s="186"/>
      <c r="E156" s="186"/>
      <c r="F156" s="186"/>
      <c r="G156" s="186"/>
      <c r="H156" s="186"/>
      <c r="I156" s="186"/>
      <c r="J156" s="186"/>
      <c r="K156" s="186"/>
      <c r="L156" s="186"/>
      <c r="M156" s="186"/>
      <c r="N156" s="186"/>
      <c r="O156" s="186"/>
      <c r="P156" s="186"/>
      <c r="Q156" s="186"/>
      <c r="R156" s="186"/>
      <c r="S156" s="186"/>
      <c r="T156" s="186"/>
      <c r="U156" s="186"/>
    </row>
    <row r="157" spans="1:21">
      <c r="A157" s="186"/>
      <c r="B157" s="186"/>
      <c r="C157" s="186"/>
      <c r="D157" s="186"/>
      <c r="E157" s="186"/>
      <c r="F157" s="186"/>
      <c r="G157" s="186"/>
      <c r="H157" s="186"/>
      <c r="I157" s="186"/>
      <c r="J157" s="186"/>
      <c r="K157" s="186"/>
      <c r="L157" s="186"/>
      <c r="M157" s="186"/>
      <c r="N157" s="186"/>
      <c r="O157" s="186"/>
      <c r="P157" s="186"/>
      <c r="Q157" s="186"/>
      <c r="R157" s="186"/>
      <c r="S157" s="186"/>
      <c r="T157" s="186"/>
      <c r="U157" s="186"/>
    </row>
    <row r="158" spans="1:21">
      <c r="A158" s="186"/>
      <c r="B158" s="186"/>
      <c r="C158" s="186"/>
      <c r="D158" s="186"/>
      <c r="E158" s="186"/>
      <c r="F158" s="186"/>
      <c r="G158" s="186"/>
      <c r="H158" s="186"/>
      <c r="I158" s="186"/>
      <c r="J158" s="186"/>
      <c r="K158" s="186"/>
      <c r="L158" s="186"/>
      <c r="M158" s="186"/>
      <c r="N158" s="186"/>
      <c r="O158" s="186"/>
      <c r="P158" s="186"/>
      <c r="Q158" s="186"/>
      <c r="R158" s="186"/>
      <c r="S158" s="186"/>
      <c r="T158" s="186"/>
      <c r="U158" s="186"/>
    </row>
    <row r="159" spans="1:21">
      <c r="A159" s="186"/>
      <c r="B159" s="186"/>
      <c r="C159" s="186"/>
      <c r="D159" s="186"/>
      <c r="E159" s="186"/>
      <c r="F159" s="186"/>
      <c r="G159" s="186"/>
      <c r="H159" s="186"/>
      <c r="I159" s="186"/>
      <c r="J159" s="186"/>
      <c r="K159" s="186"/>
      <c r="L159" s="186"/>
      <c r="M159" s="186"/>
      <c r="N159" s="186"/>
      <c r="O159" s="186"/>
      <c r="P159" s="186"/>
      <c r="Q159" s="186"/>
      <c r="R159" s="186"/>
      <c r="S159" s="186"/>
      <c r="T159" s="186"/>
      <c r="U159" s="186"/>
    </row>
    <row r="160" spans="1:21">
      <c r="A160" s="186"/>
      <c r="B160" s="186"/>
      <c r="C160" s="186"/>
      <c r="D160" s="186"/>
      <c r="E160" s="186"/>
      <c r="F160" s="186"/>
      <c r="G160" s="186"/>
      <c r="H160" s="186"/>
      <c r="I160" s="186"/>
      <c r="J160" s="186"/>
      <c r="K160" s="186"/>
      <c r="L160" s="186"/>
      <c r="M160" s="186"/>
      <c r="N160" s="186"/>
      <c r="O160" s="186"/>
      <c r="P160" s="186"/>
      <c r="Q160" s="186"/>
      <c r="R160" s="186"/>
      <c r="S160" s="186"/>
      <c r="T160" s="186"/>
      <c r="U160" s="186"/>
    </row>
    <row r="161" spans="1:21">
      <c r="A161" s="186"/>
      <c r="B161" s="186"/>
      <c r="C161" s="186"/>
      <c r="D161" s="186"/>
      <c r="E161" s="186"/>
      <c r="F161" s="186"/>
      <c r="G161" s="186"/>
      <c r="H161" s="186"/>
      <c r="I161" s="186"/>
      <c r="J161" s="186"/>
      <c r="K161" s="186"/>
      <c r="L161" s="186"/>
      <c r="M161" s="186"/>
      <c r="N161" s="186"/>
      <c r="O161" s="186"/>
      <c r="P161" s="186"/>
      <c r="Q161" s="186"/>
      <c r="R161" s="186"/>
      <c r="S161" s="186"/>
      <c r="T161" s="186"/>
      <c r="U161" s="186"/>
    </row>
    <row r="162" spans="1:21">
      <c r="A162" s="186"/>
      <c r="B162" s="186"/>
      <c r="C162" s="186"/>
      <c r="D162" s="186"/>
      <c r="E162" s="186"/>
      <c r="F162" s="186"/>
      <c r="G162" s="186"/>
      <c r="H162" s="186"/>
      <c r="I162" s="186"/>
      <c r="J162" s="186"/>
      <c r="K162" s="186"/>
      <c r="L162" s="186"/>
      <c r="M162" s="186"/>
      <c r="N162" s="186"/>
      <c r="O162" s="186"/>
      <c r="P162" s="186"/>
      <c r="Q162" s="186"/>
      <c r="R162" s="186"/>
      <c r="S162" s="186"/>
      <c r="T162" s="186"/>
      <c r="U162" s="186"/>
    </row>
    <row r="163" spans="1:21">
      <c r="A163" s="186"/>
      <c r="B163" s="186"/>
      <c r="C163" s="186"/>
      <c r="D163" s="186"/>
      <c r="E163" s="186"/>
      <c r="F163" s="186"/>
      <c r="G163" s="186"/>
      <c r="H163" s="186"/>
      <c r="I163" s="186"/>
      <c r="J163" s="186"/>
      <c r="K163" s="186"/>
      <c r="L163" s="186"/>
      <c r="M163" s="186"/>
      <c r="N163" s="186"/>
      <c r="O163" s="186"/>
      <c r="P163" s="186"/>
      <c r="Q163" s="186"/>
      <c r="R163" s="186"/>
      <c r="S163" s="186"/>
      <c r="T163" s="186"/>
      <c r="U163" s="186"/>
    </row>
    <row r="164" spans="1:21">
      <c r="A164" s="186"/>
      <c r="B164" s="186"/>
      <c r="C164" s="186"/>
      <c r="D164" s="186"/>
      <c r="E164" s="186"/>
      <c r="F164" s="186"/>
      <c r="G164" s="186"/>
      <c r="H164" s="186"/>
      <c r="I164" s="186"/>
      <c r="J164" s="186"/>
      <c r="K164" s="186"/>
      <c r="L164" s="186"/>
      <c r="M164" s="186"/>
      <c r="N164" s="186"/>
      <c r="O164" s="186"/>
      <c r="P164" s="186"/>
      <c r="Q164" s="186"/>
      <c r="R164" s="186"/>
      <c r="S164" s="186"/>
      <c r="T164" s="186"/>
      <c r="U164" s="186"/>
    </row>
    <row r="165" spans="1:21">
      <c r="A165" s="186"/>
      <c r="B165" s="186"/>
      <c r="C165" s="186"/>
      <c r="D165" s="186"/>
      <c r="E165" s="186"/>
      <c r="F165" s="186"/>
      <c r="G165" s="186"/>
      <c r="H165" s="186"/>
      <c r="I165" s="186"/>
      <c r="J165" s="186"/>
      <c r="K165" s="186"/>
      <c r="L165" s="186"/>
      <c r="M165" s="186"/>
      <c r="N165" s="186"/>
      <c r="O165" s="186"/>
      <c r="P165" s="186"/>
      <c r="Q165" s="186"/>
      <c r="R165" s="186"/>
      <c r="S165" s="186"/>
      <c r="T165" s="186"/>
      <c r="U165" s="186"/>
    </row>
    <row r="166" spans="1:21">
      <c r="A166" s="186"/>
      <c r="B166" s="186"/>
      <c r="C166" s="186"/>
      <c r="D166" s="186"/>
      <c r="E166" s="186"/>
      <c r="F166" s="186"/>
      <c r="G166" s="186"/>
      <c r="H166" s="186"/>
      <c r="I166" s="186"/>
      <c r="J166" s="186"/>
      <c r="K166" s="186"/>
      <c r="L166" s="186"/>
      <c r="M166" s="186"/>
      <c r="N166" s="186"/>
      <c r="O166" s="186"/>
      <c r="P166" s="186"/>
      <c r="Q166" s="186"/>
      <c r="R166" s="186"/>
      <c r="S166" s="186"/>
      <c r="T166" s="186"/>
      <c r="U166" s="186"/>
    </row>
    <row r="167" spans="1:21">
      <c r="A167" s="186"/>
      <c r="B167" s="186"/>
      <c r="C167" s="186"/>
      <c r="D167" s="186"/>
      <c r="E167" s="186"/>
      <c r="F167" s="186"/>
      <c r="G167" s="186"/>
      <c r="H167" s="186"/>
      <c r="I167" s="186"/>
      <c r="J167" s="186"/>
      <c r="K167" s="186"/>
      <c r="L167" s="186"/>
      <c r="M167" s="186"/>
      <c r="N167" s="186"/>
      <c r="O167" s="186"/>
      <c r="P167" s="186"/>
      <c r="Q167" s="186"/>
      <c r="R167" s="186"/>
      <c r="S167" s="186"/>
      <c r="T167" s="186"/>
      <c r="U167" s="186"/>
    </row>
    <row r="168" spans="1:21">
      <c r="A168" s="186"/>
      <c r="B168" s="186"/>
      <c r="C168" s="186"/>
      <c r="D168" s="186"/>
      <c r="E168" s="186"/>
      <c r="F168" s="186"/>
      <c r="G168" s="186"/>
      <c r="H168" s="186"/>
      <c r="I168" s="186"/>
      <c r="J168" s="186"/>
      <c r="K168" s="186"/>
      <c r="L168" s="186"/>
      <c r="M168" s="186"/>
      <c r="N168" s="186"/>
      <c r="O168" s="186"/>
      <c r="P168" s="186"/>
      <c r="Q168" s="186"/>
      <c r="R168" s="186"/>
      <c r="S168" s="186"/>
      <c r="T168" s="186"/>
      <c r="U168" s="186"/>
    </row>
    <row r="169" spans="1:21">
      <c r="A169" s="186"/>
      <c r="B169" s="186"/>
      <c r="C169" s="186"/>
      <c r="D169" s="186"/>
      <c r="E169" s="186"/>
      <c r="F169" s="186"/>
      <c r="G169" s="186"/>
      <c r="H169" s="186"/>
      <c r="I169" s="186"/>
      <c r="J169" s="186"/>
      <c r="K169" s="186"/>
      <c r="L169" s="186"/>
      <c r="M169" s="186"/>
      <c r="N169" s="186"/>
      <c r="O169" s="186"/>
      <c r="P169" s="186"/>
      <c r="Q169" s="186"/>
      <c r="R169" s="186"/>
      <c r="S169" s="186"/>
      <c r="T169" s="186"/>
      <c r="U169" s="186"/>
    </row>
    <row r="170" spans="1:21">
      <c r="A170" s="186"/>
      <c r="B170" s="186"/>
      <c r="C170" s="186"/>
      <c r="D170" s="186"/>
      <c r="E170" s="186"/>
      <c r="F170" s="186"/>
      <c r="G170" s="186"/>
      <c r="H170" s="186"/>
      <c r="I170" s="186"/>
      <c r="J170" s="186"/>
      <c r="K170" s="186"/>
      <c r="L170" s="186"/>
      <c r="M170" s="186"/>
      <c r="N170" s="186"/>
      <c r="O170" s="186"/>
      <c r="P170" s="186"/>
      <c r="Q170" s="186"/>
      <c r="R170" s="186"/>
      <c r="S170" s="186"/>
      <c r="T170" s="186"/>
      <c r="U170" s="186"/>
    </row>
    <row r="171" spans="1:21">
      <c r="A171" s="186"/>
      <c r="B171" s="186"/>
      <c r="C171" s="186"/>
      <c r="D171" s="186"/>
      <c r="E171" s="186"/>
      <c r="F171" s="186"/>
      <c r="G171" s="186"/>
      <c r="H171" s="186"/>
      <c r="I171" s="186"/>
      <c r="J171" s="186"/>
      <c r="K171" s="186"/>
      <c r="L171" s="186"/>
      <c r="M171" s="186"/>
      <c r="N171" s="186"/>
      <c r="O171" s="186"/>
      <c r="P171" s="186"/>
      <c r="Q171" s="186"/>
      <c r="R171" s="186"/>
      <c r="S171" s="186"/>
      <c r="T171" s="186"/>
      <c r="U171" s="186"/>
    </row>
    <row r="172" spans="1:21">
      <c r="A172" s="186"/>
      <c r="B172" s="186"/>
      <c r="C172" s="186"/>
      <c r="D172" s="186"/>
      <c r="E172" s="186"/>
      <c r="F172" s="186"/>
      <c r="G172" s="186"/>
      <c r="H172" s="186"/>
      <c r="I172" s="186"/>
      <c r="J172" s="186"/>
      <c r="K172" s="186"/>
      <c r="L172" s="186"/>
      <c r="M172" s="186"/>
      <c r="N172" s="186"/>
      <c r="O172" s="186"/>
      <c r="P172" s="186"/>
      <c r="Q172" s="186"/>
      <c r="R172" s="186"/>
      <c r="S172" s="186"/>
      <c r="T172" s="186"/>
      <c r="U172" s="186"/>
    </row>
    <row r="173" spans="1:21">
      <c r="A173" s="186"/>
      <c r="B173" s="186"/>
      <c r="C173" s="186"/>
      <c r="D173" s="186"/>
      <c r="E173" s="186"/>
      <c r="F173" s="186"/>
      <c r="G173" s="186"/>
      <c r="H173" s="186"/>
      <c r="I173" s="186"/>
      <c r="J173" s="186"/>
      <c r="K173" s="186"/>
      <c r="L173" s="186"/>
      <c r="M173" s="186"/>
      <c r="N173" s="186"/>
      <c r="O173" s="186"/>
      <c r="P173" s="186"/>
      <c r="Q173" s="186"/>
      <c r="R173" s="186"/>
      <c r="S173" s="186"/>
      <c r="T173" s="186"/>
      <c r="U173" s="186"/>
    </row>
    <row r="174" spans="1:21">
      <c r="A174" s="186"/>
      <c r="B174" s="186"/>
      <c r="C174" s="186"/>
      <c r="D174" s="186"/>
      <c r="E174" s="186"/>
      <c r="F174" s="186"/>
      <c r="G174" s="186"/>
      <c r="H174" s="186"/>
      <c r="I174" s="186"/>
      <c r="J174" s="186"/>
      <c r="K174" s="186"/>
      <c r="L174" s="186"/>
      <c r="M174" s="186"/>
      <c r="N174" s="186"/>
      <c r="O174" s="186"/>
      <c r="P174" s="186"/>
      <c r="Q174" s="186"/>
      <c r="R174" s="186"/>
      <c r="S174" s="186"/>
      <c r="T174" s="186"/>
      <c r="U174" s="186"/>
    </row>
    <row r="175" spans="1:21">
      <c r="A175" s="186"/>
      <c r="B175" s="186"/>
      <c r="C175" s="186"/>
      <c r="D175" s="186"/>
      <c r="E175" s="186"/>
      <c r="F175" s="186"/>
      <c r="G175" s="186"/>
      <c r="H175" s="186"/>
      <c r="I175" s="186"/>
      <c r="J175" s="186"/>
      <c r="K175" s="186"/>
      <c r="L175" s="186"/>
      <c r="M175" s="186"/>
      <c r="N175" s="186"/>
      <c r="O175" s="186"/>
      <c r="P175" s="186"/>
      <c r="Q175" s="186"/>
      <c r="R175" s="186"/>
      <c r="S175" s="186"/>
      <c r="T175" s="186"/>
      <c r="U175" s="186"/>
    </row>
    <row r="176" spans="1:21">
      <c r="A176" s="186"/>
      <c r="B176" s="186"/>
      <c r="C176" s="186"/>
      <c r="D176" s="186"/>
      <c r="E176" s="186"/>
      <c r="F176" s="186"/>
      <c r="G176" s="186"/>
      <c r="H176" s="186"/>
      <c r="I176" s="186"/>
      <c r="J176" s="186"/>
      <c r="K176" s="186"/>
      <c r="L176" s="186"/>
      <c r="M176" s="186"/>
      <c r="N176" s="186"/>
      <c r="O176" s="186"/>
      <c r="P176" s="186"/>
      <c r="Q176" s="186"/>
      <c r="R176" s="186"/>
      <c r="S176" s="186"/>
      <c r="T176" s="186"/>
      <c r="U176" s="186"/>
    </row>
    <row r="177" spans="1:21">
      <c r="A177" s="186"/>
      <c r="B177" s="186"/>
      <c r="C177" s="186"/>
      <c r="D177" s="186"/>
      <c r="E177" s="186"/>
      <c r="F177" s="186"/>
      <c r="G177" s="186"/>
      <c r="H177" s="186"/>
      <c r="I177" s="186"/>
      <c r="J177" s="186"/>
      <c r="K177" s="186"/>
      <c r="L177" s="186"/>
      <c r="M177" s="186"/>
      <c r="N177" s="186"/>
      <c r="O177" s="186"/>
      <c r="P177" s="186"/>
      <c r="Q177" s="186"/>
      <c r="R177" s="186"/>
      <c r="S177" s="186"/>
      <c r="T177" s="186"/>
      <c r="U177" s="186"/>
    </row>
    <row r="178" spans="1:21">
      <c r="A178" s="186"/>
      <c r="B178" s="186"/>
      <c r="C178" s="186"/>
      <c r="D178" s="186"/>
      <c r="E178" s="186"/>
      <c r="F178" s="186"/>
      <c r="G178" s="186"/>
      <c r="H178" s="186"/>
      <c r="I178" s="186"/>
      <c r="J178" s="186"/>
      <c r="K178" s="186"/>
      <c r="L178" s="186"/>
      <c r="M178" s="186"/>
      <c r="N178" s="186"/>
      <c r="O178" s="186"/>
      <c r="P178" s="186"/>
      <c r="Q178" s="186"/>
      <c r="R178" s="186"/>
      <c r="S178" s="186"/>
      <c r="T178" s="186"/>
      <c r="U178" s="186"/>
    </row>
    <row r="179" spans="1:21">
      <c r="A179" s="186"/>
      <c r="B179" s="186"/>
      <c r="C179" s="186"/>
      <c r="D179" s="186"/>
      <c r="E179" s="186"/>
      <c r="F179" s="186"/>
      <c r="G179" s="186"/>
      <c r="H179" s="186"/>
      <c r="I179" s="186"/>
      <c r="J179" s="186"/>
      <c r="K179" s="186"/>
      <c r="L179" s="186"/>
      <c r="M179" s="186"/>
      <c r="N179" s="186"/>
      <c r="O179" s="186"/>
      <c r="P179" s="186"/>
      <c r="Q179" s="186"/>
      <c r="R179" s="186"/>
      <c r="S179" s="186"/>
      <c r="T179" s="186"/>
      <c r="U179" s="186"/>
    </row>
    <row r="180" spans="1:21">
      <c r="A180" s="186"/>
      <c r="B180" s="186"/>
      <c r="C180" s="186"/>
      <c r="D180" s="186"/>
      <c r="E180" s="186"/>
      <c r="F180" s="186"/>
      <c r="G180" s="186"/>
      <c r="H180" s="186"/>
      <c r="I180" s="186"/>
      <c r="J180" s="186"/>
      <c r="K180" s="186"/>
      <c r="L180" s="186"/>
      <c r="M180" s="186"/>
      <c r="N180" s="186"/>
      <c r="O180" s="186"/>
      <c r="P180" s="186"/>
      <c r="Q180" s="186"/>
      <c r="R180" s="186"/>
      <c r="S180" s="186"/>
      <c r="T180" s="186"/>
      <c r="U180" s="186"/>
    </row>
    <row r="181" spans="1:21">
      <c r="A181" s="186"/>
      <c r="B181" s="186"/>
      <c r="C181" s="186"/>
      <c r="D181" s="186"/>
      <c r="E181" s="186"/>
      <c r="F181" s="186"/>
      <c r="G181" s="186"/>
      <c r="H181" s="186"/>
      <c r="I181" s="186"/>
      <c r="J181" s="186"/>
      <c r="K181" s="186"/>
      <c r="L181" s="186"/>
      <c r="M181" s="186"/>
      <c r="N181" s="186"/>
      <c r="O181" s="186"/>
      <c r="P181" s="186"/>
      <c r="Q181" s="186"/>
      <c r="R181" s="186"/>
      <c r="S181" s="186"/>
      <c r="T181" s="186"/>
      <c r="U181" s="186"/>
    </row>
    <row r="182" spans="1:21">
      <c r="A182" s="186"/>
      <c r="B182" s="186"/>
      <c r="C182" s="186"/>
      <c r="D182" s="186"/>
      <c r="E182" s="186"/>
      <c r="F182" s="186"/>
      <c r="G182" s="186"/>
      <c r="H182" s="186"/>
      <c r="I182" s="186"/>
      <c r="J182" s="186"/>
      <c r="K182" s="186"/>
      <c r="L182" s="186"/>
      <c r="M182" s="186"/>
      <c r="N182" s="186"/>
      <c r="O182" s="186"/>
      <c r="P182" s="186"/>
      <c r="Q182" s="186"/>
      <c r="R182" s="186"/>
      <c r="S182" s="186"/>
      <c r="T182" s="186"/>
      <c r="U182" s="186"/>
    </row>
    <row r="183" spans="1:21">
      <c r="A183" s="186"/>
      <c r="B183" s="186"/>
      <c r="C183" s="186"/>
      <c r="D183" s="186"/>
      <c r="E183" s="186"/>
      <c r="F183" s="186"/>
      <c r="G183" s="186"/>
      <c r="H183" s="186"/>
      <c r="I183" s="186"/>
      <c r="J183" s="186"/>
      <c r="K183" s="186"/>
      <c r="L183" s="186"/>
      <c r="M183" s="186"/>
      <c r="N183" s="186"/>
      <c r="O183" s="186"/>
      <c r="P183" s="186"/>
      <c r="Q183" s="186"/>
      <c r="R183" s="186"/>
      <c r="S183" s="186"/>
      <c r="T183" s="186"/>
      <c r="U183" s="186"/>
    </row>
    <row r="184" spans="1:21">
      <c r="A184" s="186"/>
      <c r="B184" s="186"/>
      <c r="C184" s="186"/>
      <c r="D184" s="186"/>
      <c r="E184" s="186"/>
      <c r="F184" s="186"/>
      <c r="G184" s="186"/>
      <c r="H184" s="186"/>
      <c r="I184" s="186"/>
      <c r="J184" s="186"/>
      <c r="K184" s="186"/>
      <c r="L184" s="186"/>
      <c r="M184" s="186"/>
      <c r="N184" s="186"/>
      <c r="O184" s="186"/>
      <c r="P184" s="186"/>
      <c r="Q184" s="186"/>
      <c r="R184" s="186"/>
      <c r="S184" s="186"/>
      <c r="T184" s="186"/>
      <c r="U184" s="186"/>
    </row>
    <row r="185" spans="1:21">
      <c r="A185" s="186"/>
      <c r="B185" s="186"/>
      <c r="C185" s="186"/>
      <c r="D185" s="186"/>
      <c r="E185" s="186"/>
      <c r="F185" s="186"/>
      <c r="G185" s="186"/>
      <c r="H185" s="186"/>
      <c r="I185" s="186"/>
      <c r="J185" s="186"/>
      <c r="K185" s="186"/>
      <c r="L185" s="186"/>
      <c r="M185" s="186"/>
      <c r="N185" s="186"/>
      <c r="O185" s="186"/>
      <c r="P185" s="186"/>
      <c r="Q185" s="186"/>
      <c r="R185" s="186"/>
      <c r="S185" s="186"/>
      <c r="T185" s="186"/>
      <c r="U185" s="186"/>
    </row>
    <row r="186" spans="1:21">
      <c r="A186" s="186"/>
      <c r="B186" s="186"/>
      <c r="C186" s="186"/>
      <c r="D186" s="186"/>
      <c r="E186" s="186"/>
      <c r="F186" s="186"/>
      <c r="G186" s="186"/>
      <c r="H186" s="186"/>
      <c r="I186" s="186"/>
      <c r="J186" s="186"/>
      <c r="K186" s="186"/>
      <c r="L186" s="186"/>
      <c r="M186" s="186"/>
      <c r="N186" s="186"/>
      <c r="O186" s="186"/>
      <c r="P186" s="186"/>
      <c r="Q186" s="186"/>
      <c r="R186" s="186"/>
      <c r="S186" s="186"/>
      <c r="T186" s="186"/>
      <c r="U186" s="186"/>
    </row>
    <row r="187" spans="1:21">
      <c r="A187" s="186"/>
      <c r="B187" s="186"/>
      <c r="C187" s="186"/>
      <c r="D187" s="186"/>
      <c r="E187" s="186"/>
      <c r="F187" s="186"/>
      <c r="G187" s="186"/>
      <c r="H187" s="186"/>
      <c r="I187" s="186"/>
      <c r="J187" s="186"/>
      <c r="K187" s="186"/>
      <c r="L187" s="186"/>
      <c r="M187" s="186"/>
      <c r="N187" s="186"/>
      <c r="O187" s="186"/>
      <c r="P187" s="186"/>
      <c r="Q187" s="186"/>
      <c r="R187" s="186"/>
      <c r="S187" s="186"/>
      <c r="T187" s="186"/>
      <c r="U187" s="186"/>
    </row>
    <row r="188" spans="1:21">
      <c r="A188" s="186"/>
      <c r="B188" s="186"/>
      <c r="C188" s="186"/>
      <c r="D188" s="186"/>
      <c r="E188" s="186"/>
      <c r="F188" s="186"/>
      <c r="G188" s="186"/>
      <c r="H188" s="186"/>
      <c r="I188" s="186"/>
      <c r="J188" s="186"/>
      <c r="K188" s="186"/>
      <c r="L188" s="186"/>
      <c r="M188" s="186"/>
      <c r="N188" s="186"/>
      <c r="O188" s="186"/>
      <c r="P188" s="186"/>
      <c r="Q188" s="186"/>
      <c r="R188" s="186"/>
      <c r="S188" s="186"/>
      <c r="T188" s="186"/>
      <c r="U188" s="186"/>
    </row>
    <row r="189" spans="1:21">
      <c r="A189" s="186"/>
      <c r="B189" s="186"/>
      <c r="C189" s="186"/>
      <c r="D189" s="186"/>
      <c r="E189" s="186"/>
      <c r="F189" s="186"/>
      <c r="G189" s="186"/>
      <c r="H189" s="186"/>
      <c r="I189" s="186"/>
      <c r="J189" s="186"/>
      <c r="K189" s="186"/>
      <c r="L189" s="186"/>
      <c r="M189" s="186"/>
      <c r="N189" s="186"/>
      <c r="O189" s="186"/>
      <c r="P189" s="186"/>
      <c r="Q189" s="186"/>
      <c r="R189" s="186"/>
      <c r="S189" s="186"/>
      <c r="T189" s="186"/>
      <c r="U189" s="186"/>
    </row>
    <row r="190" spans="1:21">
      <c r="A190" s="186"/>
      <c r="B190" s="186"/>
      <c r="C190" s="186"/>
      <c r="D190" s="186"/>
      <c r="E190" s="186"/>
      <c r="F190" s="186"/>
      <c r="G190" s="186"/>
      <c r="H190" s="186"/>
      <c r="I190" s="186"/>
      <c r="J190" s="186"/>
      <c r="K190" s="186"/>
      <c r="L190" s="186"/>
      <c r="M190" s="186"/>
      <c r="N190" s="186"/>
      <c r="O190" s="186"/>
      <c r="P190" s="186"/>
      <c r="Q190" s="186"/>
      <c r="R190" s="186"/>
      <c r="S190" s="186"/>
      <c r="T190" s="186"/>
      <c r="U190" s="186"/>
    </row>
    <row r="191" spans="1:21">
      <c r="A191" s="186"/>
      <c r="B191" s="186"/>
      <c r="C191" s="186"/>
      <c r="D191" s="186"/>
      <c r="E191" s="186"/>
      <c r="F191" s="186"/>
      <c r="G191" s="186"/>
      <c r="H191" s="186"/>
      <c r="I191" s="186"/>
      <c r="J191" s="186"/>
      <c r="K191" s="186"/>
      <c r="L191" s="186"/>
      <c r="M191" s="186"/>
      <c r="N191" s="186"/>
      <c r="O191" s="186"/>
      <c r="P191" s="186"/>
      <c r="Q191" s="186"/>
      <c r="R191" s="186"/>
      <c r="S191" s="186"/>
      <c r="T191" s="186"/>
      <c r="U191" s="186"/>
    </row>
    <row r="192" spans="1:21">
      <c r="A192" s="186"/>
      <c r="B192" s="186"/>
      <c r="C192" s="186"/>
      <c r="D192" s="186"/>
      <c r="E192" s="186"/>
      <c r="F192" s="186"/>
      <c r="G192" s="186"/>
      <c r="H192" s="186"/>
      <c r="I192" s="186"/>
      <c r="J192" s="186"/>
      <c r="K192" s="186"/>
      <c r="L192" s="186"/>
      <c r="M192" s="186"/>
      <c r="N192" s="186"/>
      <c r="O192" s="186"/>
      <c r="P192" s="186"/>
      <c r="Q192" s="186"/>
      <c r="R192" s="186"/>
      <c r="S192" s="186"/>
      <c r="T192" s="186"/>
      <c r="U192" s="186"/>
    </row>
    <row r="193" spans="1:21">
      <c r="A193" s="186"/>
      <c r="B193" s="186"/>
      <c r="C193" s="186"/>
      <c r="D193" s="186"/>
      <c r="E193" s="186"/>
      <c r="F193" s="186"/>
      <c r="G193" s="186"/>
      <c r="H193" s="186"/>
      <c r="I193" s="186"/>
      <c r="J193" s="186"/>
      <c r="K193" s="186"/>
      <c r="L193" s="186"/>
      <c r="M193" s="186"/>
      <c r="N193" s="186"/>
      <c r="O193" s="186"/>
      <c r="P193" s="186"/>
      <c r="Q193" s="186"/>
      <c r="R193" s="186"/>
      <c r="S193" s="186"/>
      <c r="T193" s="186"/>
      <c r="U193" s="186"/>
    </row>
    <row r="194" spans="1:21">
      <c r="A194" s="186"/>
      <c r="B194" s="186"/>
      <c r="C194" s="186"/>
      <c r="D194" s="186"/>
      <c r="E194" s="186"/>
      <c r="F194" s="186"/>
      <c r="G194" s="186"/>
      <c r="H194" s="186"/>
      <c r="I194" s="186"/>
      <c r="J194" s="186"/>
      <c r="K194" s="186"/>
      <c r="L194" s="186"/>
      <c r="M194" s="186"/>
      <c r="N194" s="186"/>
      <c r="O194" s="186"/>
      <c r="P194" s="186"/>
      <c r="Q194" s="186"/>
      <c r="R194" s="186"/>
      <c r="S194" s="186"/>
      <c r="T194" s="186"/>
      <c r="U194" s="186"/>
    </row>
    <row r="195" spans="1:21">
      <c r="A195" s="186"/>
      <c r="B195" s="186"/>
      <c r="C195" s="186"/>
      <c r="D195" s="186"/>
      <c r="E195" s="186"/>
      <c r="F195" s="186"/>
      <c r="G195" s="186"/>
      <c r="H195" s="186"/>
      <c r="I195" s="186"/>
      <c r="J195" s="186"/>
      <c r="K195" s="186"/>
      <c r="L195" s="186"/>
      <c r="M195" s="186"/>
      <c r="N195" s="186"/>
      <c r="O195" s="186"/>
      <c r="P195" s="186"/>
      <c r="Q195" s="186"/>
      <c r="R195" s="186"/>
      <c r="S195" s="186"/>
      <c r="T195" s="186"/>
      <c r="U195" s="186"/>
    </row>
    <row r="196" spans="1:21">
      <c r="A196" s="186"/>
      <c r="B196" s="186"/>
      <c r="C196" s="186"/>
      <c r="D196" s="186"/>
      <c r="E196" s="186"/>
      <c r="F196" s="186"/>
      <c r="G196" s="186"/>
      <c r="H196" s="186"/>
      <c r="I196" s="186"/>
      <c r="J196" s="186"/>
      <c r="K196" s="186"/>
      <c r="L196" s="186"/>
      <c r="M196" s="186"/>
      <c r="N196" s="186"/>
      <c r="O196" s="186"/>
      <c r="P196" s="186"/>
      <c r="Q196" s="186"/>
      <c r="R196" s="186"/>
      <c r="S196" s="186"/>
      <c r="T196" s="186"/>
      <c r="U196" s="186"/>
    </row>
    <row r="197" spans="1:21">
      <c r="A197" s="186"/>
      <c r="B197" s="186"/>
      <c r="C197" s="186"/>
      <c r="D197" s="186"/>
      <c r="E197" s="186"/>
      <c r="F197" s="186"/>
      <c r="G197" s="186"/>
      <c r="H197" s="186"/>
      <c r="I197" s="186"/>
      <c r="J197" s="186"/>
      <c r="K197" s="186"/>
      <c r="L197" s="186"/>
      <c r="M197" s="186"/>
      <c r="N197" s="186"/>
      <c r="O197" s="186"/>
      <c r="P197" s="186"/>
      <c r="Q197" s="186"/>
      <c r="R197" s="186"/>
      <c r="S197" s="186"/>
      <c r="T197" s="186"/>
      <c r="U197" s="186"/>
    </row>
    <row r="198" spans="1:21">
      <c r="A198" s="186"/>
      <c r="B198" s="186"/>
      <c r="C198" s="186"/>
      <c r="D198" s="186"/>
      <c r="E198" s="186"/>
      <c r="F198" s="186"/>
      <c r="G198" s="186"/>
      <c r="H198" s="186"/>
      <c r="I198" s="186"/>
      <c r="J198" s="186"/>
      <c r="K198" s="186"/>
      <c r="L198" s="186"/>
      <c r="M198" s="186"/>
      <c r="N198" s="186"/>
      <c r="O198" s="186"/>
      <c r="P198" s="186"/>
      <c r="Q198" s="186"/>
      <c r="R198" s="186"/>
      <c r="S198" s="186"/>
      <c r="T198" s="186"/>
      <c r="U198" s="186"/>
    </row>
    <row r="199" spans="1:21">
      <c r="A199" s="186"/>
      <c r="B199" s="186"/>
      <c r="C199" s="186"/>
      <c r="D199" s="186"/>
      <c r="E199" s="186"/>
      <c r="F199" s="186"/>
      <c r="G199" s="186"/>
      <c r="H199" s="186"/>
      <c r="I199" s="186"/>
      <c r="J199" s="186"/>
      <c r="K199" s="186"/>
      <c r="L199" s="186"/>
      <c r="M199" s="186"/>
      <c r="N199" s="186"/>
      <c r="O199" s="186"/>
      <c r="P199" s="186"/>
      <c r="Q199" s="186"/>
      <c r="R199" s="186"/>
      <c r="S199" s="186"/>
      <c r="T199" s="186"/>
      <c r="U199" s="186"/>
    </row>
    <row r="200" spans="1:21">
      <c r="A200" s="186"/>
      <c r="B200" s="186"/>
      <c r="C200" s="186"/>
      <c r="D200" s="186"/>
      <c r="E200" s="186"/>
      <c r="F200" s="186"/>
      <c r="G200" s="186"/>
      <c r="H200" s="186"/>
      <c r="I200" s="186"/>
      <c r="J200" s="186"/>
      <c r="K200" s="186"/>
      <c r="L200" s="186"/>
      <c r="M200" s="186"/>
      <c r="N200" s="186"/>
      <c r="O200" s="186"/>
      <c r="P200" s="186"/>
      <c r="Q200" s="186"/>
      <c r="R200" s="186"/>
      <c r="S200" s="186"/>
      <c r="T200" s="186"/>
      <c r="U200" s="186"/>
    </row>
    <row r="201" spans="1:21">
      <c r="A201" s="186"/>
      <c r="B201" s="186"/>
      <c r="C201" s="186"/>
      <c r="D201" s="186"/>
      <c r="E201" s="186"/>
      <c r="F201" s="186"/>
      <c r="G201" s="186"/>
      <c r="H201" s="186"/>
      <c r="I201" s="186"/>
      <c r="J201" s="186"/>
      <c r="K201" s="186"/>
      <c r="L201" s="186"/>
      <c r="M201" s="186"/>
      <c r="N201" s="186"/>
      <c r="O201" s="186"/>
      <c r="P201" s="186"/>
      <c r="Q201" s="186"/>
      <c r="R201" s="186"/>
      <c r="S201" s="186"/>
      <c r="T201" s="186"/>
      <c r="U201" s="186"/>
    </row>
    <row r="202" spans="1:21">
      <c r="A202" s="186"/>
      <c r="B202" s="186"/>
      <c r="C202" s="186"/>
      <c r="D202" s="186"/>
      <c r="E202" s="186"/>
      <c r="F202" s="186"/>
      <c r="G202" s="186"/>
      <c r="H202" s="186"/>
      <c r="I202" s="186"/>
      <c r="J202" s="186"/>
      <c r="K202" s="186"/>
      <c r="L202" s="186"/>
      <c r="M202" s="186"/>
      <c r="N202" s="186"/>
      <c r="O202" s="186"/>
      <c r="P202" s="186"/>
      <c r="Q202" s="186"/>
      <c r="R202" s="186"/>
      <c r="S202" s="186"/>
      <c r="T202" s="186"/>
      <c r="U202" s="186"/>
    </row>
    <row r="203" spans="1:21">
      <c r="A203" s="186"/>
      <c r="B203" s="186"/>
      <c r="C203" s="186"/>
      <c r="D203" s="186"/>
      <c r="E203" s="186"/>
      <c r="F203" s="186"/>
      <c r="G203" s="186"/>
      <c r="H203" s="186"/>
      <c r="I203" s="186"/>
      <c r="J203" s="186"/>
      <c r="K203" s="186"/>
      <c r="L203" s="186"/>
      <c r="M203" s="186"/>
      <c r="N203" s="186"/>
      <c r="O203" s="186"/>
      <c r="P203" s="186"/>
      <c r="Q203" s="186"/>
      <c r="R203" s="186"/>
      <c r="S203" s="186"/>
      <c r="T203" s="186"/>
      <c r="U203" s="186"/>
    </row>
    <row r="204" spans="1:21">
      <c r="A204" s="186"/>
      <c r="B204" s="186"/>
      <c r="C204" s="186"/>
      <c r="D204" s="186"/>
      <c r="E204" s="186"/>
      <c r="F204" s="186"/>
      <c r="G204" s="186"/>
      <c r="H204" s="186"/>
      <c r="I204" s="186"/>
      <c r="J204" s="186"/>
      <c r="K204" s="186"/>
      <c r="L204" s="186"/>
      <c r="M204" s="186"/>
      <c r="N204" s="186"/>
      <c r="O204" s="186"/>
      <c r="P204" s="186"/>
      <c r="Q204" s="186"/>
      <c r="R204" s="186"/>
      <c r="S204" s="186"/>
      <c r="T204" s="186"/>
      <c r="U204" s="186"/>
    </row>
    <row r="205" spans="1:21">
      <c r="A205" s="186"/>
      <c r="B205" s="186"/>
      <c r="C205" s="186"/>
      <c r="D205" s="186"/>
      <c r="E205" s="186"/>
      <c r="F205" s="186"/>
      <c r="G205" s="186"/>
      <c r="H205" s="186"/>
      <c r="I205" s="186"/>
      <c r="J205" s="186"/>
      <c r="K205" s="186"/>
      <c r="L205" s="186"/>
      <c r="M205" s="186"/>
      <c r="N205" s="186"/>
      <c r="O205" s="186"/>
      <c r="P205" s="186"/>
      <c r="Q205" s="186"/>
      <c r="R205" s="186"/>
      <c r="S205" s="186"/>
      <c r="T205" s="186"/>
      <c r="U205" s="186"/>
    </row>
    <row r="206" spans="1:21">
      <c r="A206" s="186"/>
      <c r="B206" s="186"/>
      <c r="C206" s="186"/>
      <c r="D206" s="186"/>
      <c r="E206" s="186"/>
      <c r="F206" s="186"/>
      <c r="G206" s="186"/>
      <c r="H206" s="186"/>
      <c r="I206" s="186"/>
      <c r="J206" s="186"/>
      <c r="K206" s="186"/>
      <c r="L206" s="186"/>
      <c r="M206" s="186"/>
      <c r="N206" s="186"/>
      <c r="O206" s="186"/>
      <c r="P206" s="186"/>
      <c r="Q206" s="186"/>
      <c r="R206" s="186"/>
      <c r="S206" s="186"/>
      <c r="T206" s="186"/>
      <c r="U206" s="186"/>
    </row>
    <row r="207" spans="1:21">
      <c r="A207" s="186"/>
      <c r="B207" s="186"/>
      <c r="C207" s="186"/>
      <c r="D207" s="186"/>
      <c r="E207" s="186"/>
      <c r="F207" s="186"/>
      <c r="G207" s="186"/>
      <c r="H207" s="186"/>
      <c r="I207" s="186"/>
      <c r="J207" s="186"/>
      <c r="K207" s="186"/>
      <c r="L207" s="186"/>
      <c r="M207" s="186"/>
      <c r="N207" s="186"/>
      <c r="O207" s="186"/>
      <c r="P207" s="186"/>
      <c r="Q207" s="186"/>
      <c r="R207" s="186"/>
      <c r="S207" s="186"/>
      <c r="T207" s="186"/>
      <c r="U207" s="186"/>
    </row>
    <row r="208" spans="1:21">
      <c r="A208" s="186"/>
      <c r="B208" s="186"/>
      <c r="C208" s="186"/>
      <c r="D208" s="186"/>
      <c r="E208" s="186"/>
      <c r="F208" s="186"/>
      <c r="G208" s="186"/>
      <c r="H208" s="186"/>
      <c r="I208" s="186"/>
      <c r="J208" s="186"/>
      <c r="K208" s="186"/>
      <c r="L208" s="186"/>
      <c r="M208" s="186"/>
      <c r="N208" s="186"/>
      <c r="O208" s="186"/>
      <c r="P208" s="186"/>
      <c r="Q208" s="186"/>
      <c r="R208" s="186"/>
      <c r="S208" s="186"/>
      <c r="T208" s="186"/>
      <c r="U208" s="186"/>
    </row>
    <row r="209" spans="1:21">
      <c r="A209" s="186"/>
      <c r="B209" s="186"/>
      <c r="C209" s="186"/>
      <c r="D209" s="186"/>
      <c r="E209" s="186"/>
      <c r="F209" s="186"/>
      <c r="G209" s="186"/>
      <c r="H209" s="186"/>
      <c r="I209" s="186"/>
      <c r="J209" s="186"/>
      <c r="K209" s="186"/>
      <c r="L209" s="186"/>
      <c r="M209" s="186"/>
      <c r="N209" s="186"/>
      <c r="O209" s="186"/>
      <c r="P209" s="186"/>
      <c r="Q209" s="186"/>
      <c r="R209" s="186"/>
      <c r="S209" s="186"/>
      <c r="T209" s="186"/>
      <c r="U209" s="186"/>
    </row>
    <row r="210" spans="1:21">
      <c r="A210" s="186"/>
      <c r="B210" s="186"/>
      <c r="C210" s="186"/>
      <c r="D210" s="186"/>
      <c r="E210" s="186"/>
      <c r="F210" s="186"/>
      <c r="G210" s="186"/>
      <c r="H210" s="186"/>
      <c r="I210" s="186"/>
      <c r="J210" s="186"/>
      <c r="K210" s="186"/>
      <c r="L210" s="186"/>
      <c r="M210" s="186"/>
      <c r="N210" s="186"/>
      <c r="O210" s="186"/>
      <c r="P210" s="186"/>
      <c r="Q210" s="186"/>
      <c r="R210" s="186"/>
      <c r="S210" s="186"/>
      <c r="T210" s="186"/>
      <c r="U210" s="186"/>
    </row>
    <row r="211" spans="1:21">
      <c r="A211" s="186"/>
      <c r="B211" s="186"/>
      <c r="C211" s="186"/>
      <c r="D211" s="186"/>
      <c r="E211" s="186"/>
      <c r="F211" s="186"/>
      <c r="G211" s="186"/>
      <c r="H211" s="186"/>
      <c r="I211" s="186"/>
      <c r="J211" s="186"/>
      <c r="K211" s="186"/>
      <c r="L211" s="186"/>
      <c r="M211" s="186"/>
      <c r="N211" s="186"/>
      <c r="O211" s="186"/>
      <c r="P211" s="186"/>
      <c r="Q211" s="186"/>
      <c r="R211" s="186"/>
      <c r="S211" s="186"/>
      <c r="T211" s="186"/>
      <c r="U211" s="186"/>
    </row>
    <row r="212" spans="1:21">
      <c r="A212" s="186"/>
      <c r="B212" s="186"/>
      <c r="C212" s="186"/>
      <c r="D212" s="186"/>
      <c r="E212" s="186"/>
      <c r="F212" s="186"/>
      <c r="G212" s="186"/>
      <c r="H212" s="186"/>
      <c r="I212" s="186"/>
      <c r="J212" s="186"/>
      <c r="K212" s="186"/>
      <c r="L212" s="186"/>
      <c r="M212" s="186"/>
      <c r="N212" s="186"/>
      <c r="O212" s="186"/>
      <c r="P212" s="186"/>
      <c r="Q212" s="186"/>
      <c r="R212" s="186"/>
      <c r="S212" s="186"/>
      <c r="T212" s="186"/>
      <c r="U212" s="186"/>
    </row>
    <row r="213" spans="1:21">
      <c r="A213" s="186"/>
      <c r="B213" s="186"/>
      <c r="C213" s="186"/>
      <c r="D213" s="186"/>
      <c r="E213" s="186"/>
      <c r="F213" s="186"/>
      <c r="G213" s="186"/>
      <c r="H213" s="186"/>
      <c r="I213" s="186"/>
      <c r="J213" s="186"/>
      <c r="K213" s="186"/>
      <c r="L213" s="186"/>
      <c r="M213" s="186"/>
      <c r="N213" s="186"/>
      <c r="O213" s="186"/>
      <c r="P213" s="186"/>
      <c r="Q213" s="186"/>
      <c r="R213" s="186"/>
      <c r="S213" s="186"/>
      <c r="T213" s="186"/>
      <c r="U213" s="186"/>
    </row>
    <row r="214" spans="1:21">
      <c r="A214" s="186"/>
      <c r="B214" s="186"/>
      <c r="C214" s="186"/>
      <c r="D214" s="186"/>
      <c r="E214" s="186"/>
      <c r="F214" s="186"/>
      <c r="G214" s="186"/>
      <c r="H214" s="186"/>
      <c r="I214" s="186"/>
      <c r="J214" s="186"/>
      <c r="K214" s="186"/>
      <c r="L214" s="186"/>
      <c r="M214" s="186"/>
      <c r="N214" s="186"/>
      <c r="O214" s="186"/>
      <c r="P214" s="186"/>
      <c r="Q214" s="186"/>
      <c r="R214" s="186"/>
      <c r="S214" s="186"/>
      <c r="T214" s="186"/>
      <c r="U214" s="186"/>
    </row>
    <row r="215" spans="1:21">
      <c r="A215" s="186"/>
      <c r="B215" s="186"/>
      <c r="C215" s="186"/>
      <c r="D215" s="186"/>
      <c r="E215" s="186"/>
      <c r="F215" s="186"/>
      <c r="G215" s="186"/>
      <c r="H215" s="186"/>
      <c r="I215" s="186"/>
      <c r="J215" s="186"/>
      <c r="K215" s="186"/>
      <c r="L215" s="186"/>
      <c r="M215" s="186"/>
      <c r="N215" s="186"/>
      <c r="O215" s="186"/>
      <c r="P215" s="186"/>
      <c r="Q215" s="186"/>
      <c r="R215" s="186"/>
      <c r="S215" s="186"/>
      <c r="T215" s="186"/>
      <c r="U215" s="186"/>
    </row>
    <row r="216" spans="1:21">
      <c r="A216" s="186"/>
      <c r="B216" s="186"/>
      <c r="C216" s="186"/>
      <c r="D216" s="186"/>
      <c r="E216" s="186"/>
      <c r="F216" s="186"/>
      <c r="G216" s="186"/>
      <c r="H216" s="186"/>
      <c r="I216" s="186"/>
      <c r="J216" s="186"/>
      <c r="K216" s="186"/>
      <c r="L216" s="186"/>
      <c r="M216" s="186"/>
      <c r="N216" s="186"/>
      <c r="O216" s="186"/>
      <c r="P216" s="186"/>
      <c r="Q216" s="186"/>
      <c r="R216" s="186"/>
      <c r="S216" s="186"/>
      <c r="T216" s="186"/>
      <c r="U216" s="186"/>
    </row>
    <row r="217" spans="1:21">
      <c r="A217" s="186"/>
      <c r="B217" s="186"/>
      <c r="C217" s="186"/>
      <c r="D217" s="186"/>
      <c r="E217" s="186"/>
      <c r="F217" s="186"/>
      <c r="G217" s="186"/>
      <c r="H217" s="186"/>
      <c r="I217" s="186"/>
      <c r="J217" s="186"/>
      <c r="K217" s="186"/>
      <c r="L217" s="186"/>
      <c r="M217" s="186"/>
      <c r="N217" s="186"/>
      <c r="O217" s="186"/>
      <c r="P217" s="186"/>
      <c r="Q217" s="186"/>
      <c r="R217" s="186"/>
      <c r="S217" s="186"/>
      <c r="T217" s="186"/>
      <c r="U217" s="186"/>
    </row>
    <row r="218" spans="1:21">
      <c r="A218" s="186"/>
      <c r="B218" s="186"/>
      <c r="C218" s="186"/>
      <c r="D218" s="186"/>
      <c r="E218" s="186"/>
      <c r="F218" s="186"/>
      <c r="G218" s="186"/>
      <c r="H218" s="186"/>
      <c r="I218" s="186"/>
      <c r="J218" s="186"/>
      <c r="K218" s="186"/>
      <c r="L218" s="186"/>
      <c r="M218" s="186"/>
      <c r="N218" s="186"/>
      <c r="O218" s="186"/>
      <c r="P218" s="186"/>
      <c r="Q218" s="186"/>
      <c r="R218" s="186"/>
      <c r="S218" s="186"/>
      <c r="T218" s="186"/>
      <c r="U218" s="186"/>
    </row>
    <row r="219" spans="1:21">
      <c r="A219" s="186"/>
      <c r="B219" s="186"/>
      <c r="C219" s="186"/>
      <c r="D219" s="186"/>
      <c r="E219" s="186"/>
      <c r="F219" s="186"/>
      <c r="G219" s="186"/>
      <c r="H219" s="186"/>
      <c r="I219" s="186"/>
      <c r="J219" s="186"/>
      <c r="K219" s="186"/>
      <c r="L219" s="186"/>
      <c r="M219" s="186"/>
      <c r="N219" s="186"/>
      <c r="O219" s="186"/>
      <c r="P219" s="186"/>
      <c r="Q219" s="186"/>
      <c r="R219" s="186"/>
      <c r="S219" s="186"/>
      <c r="T219" s="186"/>
      <c r="U219" s="186"/>
    </row>
    <row r="220" spans="1:21">
      <c r="A220" s="186"/>
      <c r="B220" s="186"/>
      <c r="C220" s="186"/>
      <c r="D220" s="186"/>
      <c r="E220" s="186"/>
      <c r="F220" s="186"/>
      <c r="G220" s="186"/>
      <c r="H220" s="186"/>
      <c r="I220" s="186"/>
      <c r="J220" s="186"/>
      <c r="K220" s="186"/>
      <c r="L220" s="186"/>
      <c r="M220" s="186"/>
      <c r="N220" s="186"/>
      <c r="O220" s="186"/>
      <c r="P220" s="186"/>
      <c r="Q220" s="186"/>
      <c r="R220" s="186"/>
      <c r="S220" s="186"/>
      <c r="T220" s="186"/>
      <c r="U220" s="186"/>
    </row>
    <row r="221" spans="1:21">
      <c r="A221" s="186"/>
      <c r="B221" s="186"/>
      <c r="C221" s="186"/>
      <c r="D221" s="186"/>
      <c r="E221" s="186"/>
      <c r="F221" s="186"/>
      <c r="G221" s="186"/>
      <c r="H221" s="186"/>
      <c r="I221" s="186"/>
      <c r="J221" s="186"/>
      <c r="K221" s="186"/>
      <c r="L221" s="186"/>
      <c r="M221" s="186"/>
      <c r="N221" s="186"/>
      <c r="O221" s="186"/>
      <c r="P221" s="186"/>
      <c r="Q221" s="186"/>
      <c r="R221" s="186"/>
      <c r="S221" s="186"/>
      <c r="T221" s="186"/>
      <c r="U221" s="186"/>
    </row>
    <row r="222" spans="1:21">
      <c r="A222" s="186"/>
      <c r="B222" s="186"/>
      <c r="C222" s="186"/>
      <c r="D222" s="186"/>
      <c r="E222" s="186"/>
      <c r="F222" s="186"/>
      <c r="G222" s="186"/>
      <c r="H222" s="186"/>
      <c r="I222" s="186"/>
      <c r="J222" s="186"/>
      <c r="K222" s="186"/>
      <c r="L222" s="186"/>
      <c r="M222" s="186"/>
      <c r="N222" s="186"/>
      <c r="O222" s="186"/>
      <c r="P222" s="186"/>
      <c r="Q222" s="186"/>
      <c r="R222" s="186"/>
      <c r="S222" s="186"/>
      <c r="T222" s="186"/>
      <c r="U222" s="186"/>
    </row>
    <row r="223" spans="1:21">
      <c r="A223" s="186"/>
      <c r="B223" s="186"/>
      <c r="C223" s="186"/>
      <c r="D223" s="186"/>
      <c r="E223" s="186"/>
      <c r="F223" s="186"/>
      <c r="G223" s="186"/>
      <c r="H223" s="186"/>
      <c r="I223" s="186"/>
      <c r="J223" s="186"/>
      <c r="K223" s="186"/>
      <c r="L223" s="186"/>
      <c r="M223" s="186"/>
      <c r="N223" s="186"/>
      <c r="O223" s="186"/>
      <c r="P223" s="186"/>
      <c r="Q223" s="186"/>
      <c r="R223" s="186"/>
      <c r="S223" s="186"/>
      <c r="T223" s="186"/>
      <c r="U223" s="186"/>
    </row>
    <row r="224" spans="1:21">
      <c r="A224" s="186"/>
      <c r="B224" s="186"/>
      <c r="C224" s="186"/>
      <c r="D224" s="186"/>
      <c r="E224" s="186"/>
      <c r="F224" s="186"/>
      <c r="G224" s="186"/>
      <c r="H224" s="186"/>
      <c r="I224" s="186"/>
      <c r="J224" s="186"/>
      <c r="K224" s="186"/>
      <c r="L224" s="186"/>
      <c r="M224" s="186"/>
      <c r="N224" s="186"/>
      <c r="O224" s="186"/>
      <c r="P224" s="186"/>
      <c r="Q224" s="186"/>
      <c r="R224" s="186"/>
      <c r="S224" s="186"/>
      <c r="T224" s="186"/>
      <c r="U224" s="186"/>
    </row>
    <row r="225" spans="1:21">
      <c r="A225" s="186"/>
      <c r="B225" s="186"/>
      <c r="C225" s="186"/>
      <c r="D225" s="186"/>
      <c r="E225" s="186"/>
      <c r="F225" s="186"/>
      <c r="G225" s="186"/>
      <c r="H225" s="186"/>
      <c r="I225" s="186"/>
      <c r="J225" s="186"/>
      <c r="K225" s="186"/>
      <c r="L225" s="186"/>
      <c r="M225" s="186"/>
      <c r="N225" s="186"/>
      <c r="O225" s="186"/>
      <c r="P225" s="186"/>
      <c r="Q225" s="186"/>
      <c r="R225" s="186"/>
      <c r="S225" s="186"/>
      <c r="T225" s="186"/>
      <c r="U225" s="186"/>
    </row>
    <row r="226" spans="1:21">
      <c r="A226" s="186"/>
      <c r="B226" s="186"/>
      <c r="C226" s="186"/>
      <c r="D226" s="186"/>
      <c r="E226" s="186"/>
      <c r="F226" s="186"/>
      <c r="G226" s="186"/>
      <c r="H226" s="186"/>
      <c r="I226" s="186"/>
      <c r="J226" s="186"/>
      <c r="K226" s="186"/>
      <c r="L226" s="186"/>
      <c r="M226" s="186"/>
      <c r="N226" s="186"/>
      <c r="O226" s="186"/>
      <c r="P226" s="186"/>
      <c r="Q226" s="186"/>
      <c r="R226" s="186"/>
      <c r="S226" s="186"/>
      <c r="T226" s="186"/>
      <c r="U226" s="186"/>
    </row>
    <row r="227" spans="1:21">
      <c r="A227" s="186"/>
      <c r="B227" s="186"/>
      <c r="C227" s="186"/>
      <c r="D227" s="186"/>
      <c r="E227" s="186"/>
      <c r="F227" s="186"/>
      <c r="G227" s="186"/>
      <c r="H227" s="186"/>
      <c r="I227" s="186"/>
      <c r="J227" s="186"/>
      <c r="K227" s="186"/>
      <c r="L227" s="186"/>
      <c r="M227" s="186"/>
      <c r="N227" s="186"/>
      <c r="O227" s="186"/>
      <c r="P227" s="186"/>
      <c r="Q227" s="186"/>
      <c r="R227" s="186"/>
      <c r="S227" s="186"/>
      <c r="T227" s="186"/>
      <c r="U227" s="186"/>
    </row>
    <row r="228" spans="1:21">
      <c r="A228" s="186"/>
      <c r="B228" s="186"/>
      <c r="C228" s="186"/>
      <c r="D228" s="186"/>
      <c r="E228" s="186"/>
      <c r="F228" s="186"/>
      <c r="G228" s="186"/>
      <c r="H228" s="186"/>
      <c r="I228" s="186"/>
      <c r="J228" s="186"/>
      <c r="K228" s="186"/>
      <c r="L228" s="186"/>
      <c r="M228" s="186"/>
      <c r="N228" s="186"/>
      <c r="O228" s="186"/>
      <c r="P228" s="186"/>
      <c r="Q228" s="186"/>
      <c r="R228" s="186"/>
      <c r="S228" s="186"/>
      <c r="T228" s="186"/>
      <c r="U228" s="186"/>
    </row>
    <row r="229" spans="1:21">
      <c r="A229" s="186"/>
      <c r="B229" s="186"/>
      <c r="C229" s="186"/>
      <c r="D229" s="186"/>
      <c r="E229" s="186"/>
      <c r="F229" s="186"/>
      <c r="G229" s="186"/>
      <c r="H229" s="186"/>
      <c r="I229" s="186"/>
      <c r="J229" s="186"/>
      <c r="K229" s="186"/>
      <c r="L229" s="186"/>
      <c r="M229" s="186"/>
      <c r="N229" s="186"/>
      <c r="O229" s="186"/>
      <c r="P229" s="186"/>
      <c r="Q229" s="186"/>
      <c r="R229" s="186"/>
      <c r="S229" s="186"/>
      <c r="T229" s="186"/>
      <c r="U229" s="186"/>
    </row>
    <row r="230" spans="1:21">
      <c r="A230" s="186"/>
      <c r="B230" s="186"/>
      <c r="C230" s="186"/>
      <c r="D230" s="186"/>
      <c r="E230" s="186"/>
      <c r="F230" s="186"/>
      <c r="G230" s="186"/>
      <c r="H230" s="186"/>
      <c r="I230" s="186"/>
      <c r="J230" s="186"/>
      <c r="K230" s="186"/>
      <c r="L230" s="186"/>
      <c r="M230" s="186"/>
      <c r="N230" s="186"/>
      <c r="O230" s="186"/>
      <c r="P230" s="186"/>
      <c r="Q230" s="186"/>
      <c r="R230" s="186"/>
      <c r="S230" s="186"/>
      <c r="T230" s="186"/>
      <c r="U230" s="186"/>
    </row>
    <row r="231" spans="1:21">
      <c r="A231" s="186"/>
      <c r="B231" s="186"/>
      <c r="C231" s="186"/>
      <c r="D231" s="186"/>
      <c r="E231" s="186"/>
      <c r="F231" s="186"/>
      <c r="G231" s="186"/>
      <c r="H231" s="186"/>
      <c r="I231" s="186"/>
      <c r="J231" s="186"/>
      <c r="K231" s="186"/>
      <c r="L231" s="186"/>
      <c r="M231" s="186"/>
      <c r="N231" s="186"/>
      <c r="O231" s="186"/>
      <c r="P231" s="186"/>
      <c r="Q231" s="186"/>
      <c r="R231" s="186"/>
      <c r="S231" s="186"/>
      <c r="T231" s="186"/>
      <c r="U231" s="186"/>
    </row>
    <row r="232" spans="1:21">
      <c r="A232" s="186"/>
      <c r="B232" s="186"/>
      <c r="C232" s="186"/>
      <c r="D232" s="186"/>
      <c r="E232" s="186"/>
      <c r="F232" s="186"/>
      <c r="G232" s="186"/>
      <c r="H232" s="186"/>
      <c r="I232" s="186"/>
      <c r="J232" s="186"/>
      <c r="K232" s="186"/>
      <c r="L232" s="186"/>
      <c r="M232" s="186"/>
      <c r="N232" s="186"/>
      <c r="O232" s="186"/>
      <c r="P232" s="186"/>
      <c r="Q232" s="186"/>
      <c r="R232" s="186"/>
      <c r="S232" s="186"/>
      <c r="T232" s="186"/>
      <c r="U232" s="186"/>
    </row>
    <row r="233" spans="1:21">
      <c r="A233" s="186"/>
      <c r="B233" s="186"/>
      <c r="C233" s="186"/>
      <c r="D233" s="186"/>
      <c r="E233" s="186"/>
      <c r="F233" s="186"/>
      <c r="G233" s="186"/>
      <c r="H233" s="186"/>
      <c r="I233" s="186"/>
      <c r="J233" s="186"/>
      <c r="K233" s="186"/>
      <c r="L233" s="186"/>
      <c r="M233" s="186"/>
      <c r="N233" s="186"/>
      <c r="O233" s="186"/>
      <c r="P233" s="186"/>
      <c r="Q233" s="186"/>
      <c r="R233" s="186"/>
      <c r="S233" s="186"/>
      <c r="T233" s="186"/>
      <c r="U233" s="186"/>
    </row>
    <row r="234" spans="1:21">
      <c r="A234" s="186"/>
      <c r="B234" s="186"/>
      <c r="C234" s="186"/>
      <c r="D234" s="186"/>
      <c r="E234" s="186"/>
      <c r="F234" s="186"/>
      <c r="G234" s="186"/>
      <c r="H234" s="186"/>
      <c r="I234" s="186"/>
      <c r="J234" s="186"/>
      <c r="K234" s="186"/>
      <c r="L234" s="186"/>
      <c r="M234" s="186"/>
      <c r="N234" s="186"/>
      <c r="O234" s="186"/>
      <c r="P234" s="186"/>
      <c r="Q234" s="186"/>
      <c r="R234" s="186"/>
      <c r="S234" s="186"/>
      <c r="T234" s="186"/>
      <c r="U234" s="186"/>
    </row>
    <row r="235" spans="1:21">
      <c r="A235" s="186"/>
      <c r="B235" s="186"/>
      <c r="C235" s="186"/>
      <c r="D235" s="186"/>
      <c r="E235" s="186"/>
      <c r="F235" s="186"/>
      <c r="G235" s="186"/>
      <c r="H235" s="186"/>
      <c r="I235" s="186"/>
      <c r="J235" s="186"/>
      <c r="K235" s="186"/>
      <c r="L235" s="186"/>
      <c r="M235" s="186"/>
      <c r="N235" s="186"/>
      <c r="O235" s="186"/>
      <c r="P235" s="186"/>
      <c r="Q235" s="186"/>
      <c r="R235" s="186"/>
      <c r="S235" s="186"/>
      <c r="T235" s="186"/>
      <c r="U235" s="186"/>
    </row>
    <row r="236" spans="1:21">
      <c r="A236" s="186"/>
      <c r="B236" s="186"/>
      <c r="C236" s="186"/>
      <c r="D236" s="186"/>
      <c r="E236" s="186"/>
      <c r="F236" s="186"/>
      <c r="G236" s="186"/>
      <c r="H236" s="186"/>
      <c r="I236" s="186"/>
      <c r="J236" s="186"/>
      <c r="K236" s="186"/>
      <c r="L236" s="186"/>
      <c r="M236" s="186"/>
      <c r="N236" s="186"/>
      <c r="O236" s="186"/>
      <c r="P236" s="186"/>
      <c r="Q236" s="186"/>
      <c r="R236" s="186"/>
      <c r="S236" s="186"/>
      <c r="T236" s="186"/>
      <c r="U236" s="186"/>
    </row>
    <row r="237" spans="1:21">
      <c r="A237" s="186"/>
      <c r="B237" s="186"/>
      <c r="C237" s="186"/>
      <c r="D237" s="186"/>
      <c r="E237" s="186"/>
      <c r="F237" s="186"/>
      <c r="G237" s="186"/>
      <c r="H237" s="186"/>
      <c r="I237" s="186"/>
      <c r="J237" s="186"/>
      <c r="K237" s="186"/>
      <c r="L237" s="186"/>
      <c r="M237" s="186"/>
      <c r="N237" s="186"/>
      <c r="O237" s="186"/>
      <c r="P237" s="186"/>
      <c r="Q237" s="186"/>
      <c r="R237" s="186"/>
      <c r="S237" s="186"/>
      <c r="T237" s="186"/>
      <c r="U237" s="186"/>
    </row>
    <row r="238" spans="1:21">
      <c r="A238" s="186"/>
      <c r="B238" s="186"/>
      <c r="C238" s="186"/>
      <c r="D238" s="186"/>
      <c r="E238" s="186"/>
      <c r="F238" s="186"/>
      <c r="G238" s="186"/>
      <c r="H238" s="186"/>
      <c r="I238" s="186"/>
      <c r="J238" s="186"/>
      <c r="K238" s="186"/>
      <c r="L238" s="186"/>
      <c r="M238" s="186"/>
      <c r="N238" s="186"/>
      <c r="O238" s="186"/>
      <c r="P238" s="186"/>
      <c r="Q238" s="186"/>
      <c r="R238" s="186"/>
      <c r="S238" s="186"/>
      <c r="T238" s="186"/>
      <c r="U238" s="186"/>
    </row>
    <row r="239" spans="1:21">
      <c r="A239" s="186"/>
      <c r="B239" s="186"/>
      <c r="C239" s="186"/>
      <c r="D239" s="186"/>
      <c r="E239" s="186"/>
      <c r="F239" s="186"/>
      <c r="G239" s="186"/>
      <c r="H239" s="186"/>
      <c r="I239" s="186"/>
      <c r="J239" s="186"/>
      <c r="K239" s="186"/>
      <c r="L239" s="186"/>
      <c r="M239" s="186"/>
      <c r="N239" s="186"/>
      <c r="O239" s="186"/>
      <c r="P239" s="186"/>
      <c r="Q239" s="186"/>
      <c r="R239" s="186"/>
      <c r="S239" s="186"/>
      <c r="T239" s="186"/>
      <c r="U239" s="186"/>
    </row>
    <row r="240" spans="1:21">
      <c r="A240" s="186"/>
      <c r="B240" s="186"/>
      <c r="C240" s="186"/>
      <c r="D240" s="186"/>
      <c r="E240" s="186"/>
      <c r="F240" s="186"/>
      <c r="G240" s="186"/>
      <c r="H240" s="186"/>
      <c r="I240" s="186"/>
      <c r="J240" s="186"/>
      <c r="K240" s="186"/>
      <c r="L240" s="186"/>
      <c r="M240" s="186"/>
      <c r="N240" s="186"/>
      <c r="O240" s="186"/>
      <c r="P240" s="186"/>
      <c r="Q240" s="186"/>
      <c r="R240" s="186"/>
      <c r="S240" s="186"/>
      <c r="T240" s="186"/>
      <c r="U240" s="186"/>
    </row>
    <row r="241" spans="1:46">
      <c r="A241" s="186"/>
      <c r="B241" s="186"/>
      <c r="C241" s="186"/>
      <c r="D241" s="186"/>
      <c r="E241" s="186"/>
      <c r="F241" s="186"/>
      <c r="G241" s="186"/>
      <c r="H241" s="186"/>
      <c r="I241" s="186"/>
      <c r="J241" s="186"/>
      <c r="K241" s="186"/>
      <c r="L241" s="186"/>
      <c r="M241" s="186"/>
      <c r="N241" s="186"/>
      <c r="O241" s="186"/>
      <c r="P241" s="186"/>
      <c r="Q241" s="186"/>
      <c r="R241" s="186"/>
      <c r="S241" s="186"/>
      <c r="T241" s="186"/>
      <c r="U241" s="186"/>
    </row>
    <row r="242" spans="1:46">
      <c r="A242" s="186"/>
      <c r="B242" s="186"/>
      <c r="C242" s="186"/>
      <c r="D242" s="186"/>
      <c r="E242" s="186"/>
      <c r="F242" s="186"/>
      <c r="G242" s="186"/>
      <c r="H242" s="186"/>
      <c r="I242" s="186"/>
      <c r="J242" s="186"/>
      <c r="K242" s="186"/>
      <c r="L242" s="186"/>
      <c r="M242" s="186"/>
      <c r="N242" s="186"/>
      <c r="O242" s="186"/>
      <c r="P242" s="186"/>
      <c r="Q242" s="186"/>
      <c r="R242" s="186"/>
      <c r="S242" s="186"/>
      <c r="T242" s="186"/>
      <c r="U242" s="186"/>
    </row>
    <row r="243" spans="1:46">
      <c r="A243" s="186"/>
      <c r="B243" s="186"/>
      <c r="C243" s="186"/>
      <c r="D243" s="186"/>
      <c r="E243" s="186"/>
      <c r="F243" s="186"/>
      <c r="G243" s="186"/>
      <c r="H243" s="186"/>
      <c r="I243" s="186"/>
      <c r="J243" s="186"/>
      <c r="K243" s="186"/>
      <c r="L243" s="186"/>
      <c r="M243" s="186"/>
      <c r="N243" s="186"/>
      <c r="O243" s="186"/>
      <c r="P243" s="186"/>
      <c r="Q243" s="186"/>
      <c r="R243" s="186"/>
      <c r="S243" s="186"/>
      <c r="T243" s="186"/>
      <c r="U243" s="186"/>
    </row>
    <row r="244" spans="1:46">
      <c r="A244" s="186"/>
      <c r="B244" s="186"/>
      <c r="C244" s="186"/>
      <c r="D244" s="186"/>
      <c r="E244" s="186"/>
      <c r="F244" s="186"/>
      <c r="G244" s="186"/>
      <c r="H244" s="186"/>
      <c r="I244" s="186"/>
      <c r="J244" s="186"/>
      <c r="K244" s="186"/>
      <c r="L244" s="186"/>
      <c r="M244" s="186"/>
      <c r="N244" s="186"/>
      <c r="O244" s="186"/>
      <c r="P244" s="186"/>
      <c r="Q244" s="186"/>
      <c r="R244" s="186"/>
      <c r="S244" s="186"/>
      <c r="T244" s="186"/>
      <c r="U244" s="186"/>
    </row>
    <row r="245" spans="1:46">
      <c r="A245" s="186"/>
      <c r="B245" s="186"/>
      <c r="C245" s="186"/>
      <c r="D245" s="186"/>
      <c r="E245" s="186"/>
      <c r="F245" s="186"/>
      <c r="G245" s="186"/>
      <c r="H245" s="186"/>
      <c r="I245" s="186"/>
      <c r="J245" s="186"/>
      <c r="K245" s="186"/>
      <c r="L245" s="186"/>
      <c r="M245" s="186"/>
      <c r="N245" s="186"/>
      <c r="O245" s="186"/>
      <c r="P245" s="186"/>
      <c r="Q245" s="186"/>
      <c r="R245" s="186"/>
      <c r="S245" s="186"/>
      <c r="T245" s="186"/>
      <c r="U245" s="186"/>
    </row>
    <row r="246" spans="1:46">
      <c r="A246" s="186"/>
      <c r="B246" s="186"/>
      <c r="C246" s="186"/>
      <c r="D246" s="186"/>
      <c r="E246" s="186"/>
      <c r="F246" s="186"/>
      <c r="G246" s="186"/>
      <c r="H246" s="186"/>
      <c r="I246" s="186"/>
      <c r="J246" s="186"/>
      <c r="K246" s="186"/>
      <c r="L246" s="186"/>
      <c r="M246" s="186"/>
      <c r="N246" s="186"/>
      <c r="O246" s="186"/>
      <c r="P246" s="186"/>
      <c r="Q246" s="186"/>
      <c r="R246" s="186"/>
      <c r="S246" s="186"/>
      <c r="T246" s="186"/>
      <c r="U246" s="186"/>
    </row>
    <row r="247" spans="1:46">
      <c r="A247" s="186"/>
      <c r="B247" s="186"/>
      <c r="C247" s="186"/>
      <c r="D247" s="186"/>
      <c r="E247" s="186"/>
      <c r="F247" s="186"/>
      <c r="G247" s="186"/>
      <c r="H247" s="186"/>
      <c r="I247" s="186"/>
      <c r="J247" s="186"/>
      <c r="K247" s="186"/>
      <c r="L247" s="186"/>
      <c r="M247" s="186"/>
      <c r="N247" s="186"/>
      <c r="O247" s="186"/>
      <c r="P247" s="186"/>
      <c r="Q247" s="186"/>
      <c r="R247" s="186"/>
      <c r="S247" s="186"/>
      <c r="T247" s="186"/>
      <c r="U247" s="186"/>
    </row>
    <row r="248" spans="1:46">
      <c r="A248" s="186"/>
      <c r="B248" s="186"/>
      <c r="C248" s="186"/>
      <c r="D248" s="186"/>
      <c r="E248" s="186"/>
      <c r="F248" s="186"/>
      <c r="G248" s="186"/>
      <c r="H248" s="186"/>
      <c r="I248" s="186"/>
      <c r="J248" s="186"/>
      <c r="K248" s="186"/>
      <c r="L248" s="186"/>
      <c r="M248" s="186"/>
      <c r="N248" s="186"/>
      <c r="O248" s="186"/>
      <c r="P248" s="186"/>
      <c r="Q248" s="186"/>
      <c r="R248" s="186"/>
      <c r="S248" s="186"/>
      <c r="T248" s="186"/>
      <c r="U248" s="186"/>
    </row>
    <row r="249" spans="1:46" ht="15.6">
      <c r="A249" s="206" t="s">
        <v>273</v>
      </c>
      <c r="B249" s="206"/>
      <c r="C249" s="206"/>
      <c r="D249" s="206"/>
      <c r="E249" s="206"/>
      <c r="F249" s="206"/>
      <c r="G249" s="206"/>
      <c r="H249" s="206"/>
    </row>
    <row r="250" spans="1:46">
      <c r="H250" s="16"/>
    </row>
    <row r="251" spans="1:46">
      <c r="A251" s="53" t="s">
        <v>41</v>
      </c>
      <c r="B251" s="53" t="s">
        <v>42</v>
      </c>
      <c r="C251" s="53" t="s">
        <v>13</v>
      </c>
      <c r="D251" s="53" t="s">
        <v>83</v>
      </c>
      <c r="E251" s="53" t="s">
        <v>84</v>
      </c>
      <c r="F251" s="53" t="s">
        <v>43</v>
      </c>
      <c r="G251" s="53" t="s">
        <v>85</v>
      </c>
      <c r="H251" s="53" t="s">
        <v>86</v>
      </c>
      <c r="I251" s="53" t="s">
        <v>10</v>
      </c>
      <c r="J251" s="53" t="s">
        <v>180</v>
      </c>
      <c r="K251" s="53" t="s">
        <v>4</v>
      </c>
      <c r="L251" s="53" t="s">
        <v>177</v>
      </c>
      <c r="M251" s="53" t="s">
        <v>5</v>
      </c>
      <c r="N251" s="53" t="s">
        <v>100</v>
      </c>
      <c r="O251" s="53" t="s">
        <v>102</v>
      </c>
      <c r="P251" s="53" t="s">
        <v>264</v>
      </c>
      <c r="Q251" s="53" t="s">
        <v>265</v>
      </c>
      <c r="R251" s="53" t="s">
        <v>178</v>
      </c>
      <c r="S251" s="142" t="s">
        <v>266</v>
      </c>
      <c r="T251" s="142" t="s">
        <v>267</v>
      </c>
      <c r="U251" s="142" t="s">
        <v>268</v>
      </c>
      <c r="AD251"/>
      <c r="AE251"/>
      <c r="AF251"/>
      <c r="AG251"/>
      <c r="AH251"/>
      <c r="AI251"/>
      <c r="AJ251"/>
      <c r="AK251"/>
      <c r="AL251"/>
      <c r="AM251"/>
      <c r="AN251"/>
      <c r="AO251"/>
      <c r="AP251"/>
      <c r="AQ251"/>
      <c r="AR251"/>
      <c r="AS251"/>
      <c r="AT251"/>
    </row>
    <row r="252" spans="1:46">
      <c r="A252" s="22" t="s">
        <v>120</v>
      </c>
      <c r="B252" s="22" t="s">
        <v>88</v>
      </c>
      <c r="C252" s="22" t="s">
        <v>121</v>
      </c>
      <c r="D252" s="22" t="s">
        <v>114</v>
      </c>
      <c r="E252" s="22" t="s">
        <v>90</v>
      </c>
      <c r="F252" s="22" t="s">
        <v>109</v>
      </c>
      <c r="G252" s="22" t="s">
        <v>122</v>
      </c>
      <c r="H252" s="22" t="s">
        <v>123</v>
      </c>
      <c r="I252" s="22">
        <v>-600000</v>
      </c>
      <c r="J252" s="22"/>
      <c r="K252" s="22">
        <v>-600000</v>
      </c>
      <c r="L252" s="53"/>
      <c r="M252" s="53"/>
      <c r="N252" s="88"/>
      <c r="O252" s="88"/>
      <c r="P252" s="88"/>
      <c r="Q252" s="88"/>
      <c r="R252" s="88"/>
      <c r="S252" s="142"/>
      <c r="T252" s="142"/>
      <c r="U252" s="142"/>
      <c r="AD252"/>
      <c r="AE252"/>
      <c r="AF252"/>
      <c r="AG252"/>
      <c r="AH252"/>
      <c r="AI252"/>
      <c r="AJ252"/>
      <c r="AK252"/>
      <c r="AL252"/>
      <c r="AM252"/>
      <c r="AN252"/>
      <c r="AO252"/>
      <c r="AP252"/>
      <c r="AQ252"/>
      <c r="AR252"/>
      <c r="AS252"/>
      <c r="AT252"/>
    </row>
    <row r="253" spans="1:46">
      <c r="A253" s="53" t="s">
        <v>124</v>
      </c>
      <c r="B253" s="53" t="s">
        <v>88</v>
      </c>
      <c r="C253" s="53" t="s">
        <v>125</v>
      </c>
      <c r="D253" s="53" t="s">
        <v>114</v>
      </c>
      <c r="E253" s="53" t="s">
        <v>112</v>
      </c>
      <c r="F253" s="53" t="s">
        <v>95</v>
      </c>
      <c r="G253" s="53"/>
      <c r="H253" s="53" t="s">
        <v>126</v>
      </c>
      <c r="I253" s="53">
        <v>-1515000</v>
      </c>
      <c r="J253" s="53"/>
      <c r="K253" s="53"/>
      <c r="L253" s="53"/>
      <c r="M253" s="53"/>
      <c r="N253" s="88"/>
      <c r="O253" s="88"/>
      <c r="P253" s="88"/>
      <c r="Q253" s="88"/>
      <c r="R253" s="88">
        <v>-1515000</v>
      </c>
      <c r="S253" s="142"/>
      <c r="T253" s="142"/>
      <c r="U253" s="142"/>
      <c r="AD253"/>
      <c r="AE253"/>
      <c r="AF253"/>
      <c r="AG253"/>
      <c r="AH253"/>
      <c r="AI253"/>
      <c r="AJ253"/>
      <c r="AK253"/>
      <c r="AL253"/>
      <c r="AM253"/>
      <c r="AN253"/>
      <c r="AO253"/>
      <c r="AP253"/>
      <c r="AQ253"/>
      <c r="AR253"/>
      <c r="AS253"/>
      <c r="AT253"/>
    </row>
    <row r="254" spans="1:46">
      <c r="A254" s="53" t="s">
        <v>124</v>
      </c>
      <c r="B254" s="53" t="s">
        <v>88</v>
      </c>
      <c r="C254" s="53" t="s">
        <v>127</v>
      </c>
      <c r="D254" s="53" t="s">
        <v>114</v>
      </c>
      <c r="E254" s="53" t="s">
        <v>90</v>
      </c>
      <c r="F254" s="53" t="s">
        <v>91</v>
      </c>
      <c r="G254" s="53"/>
      <c r="H254" s="53" t="s">
        <v>128</v>
      </c>
      <c r="I254" s="53">
        <v>-7367764</v>
      </c>
      <c r="J254" s="53"/>
      <c r="K254" s="53"/>
      <c r="L254" s="53"/>
      <c r="M254" s="53"/>
      <c r="N254" s="88"/>
      <c r="O254" s="88"/>
      <c r="P254" s="88"/>
      <c r="Q254" s="88"/>
      <c r="R254" s="88">
        <v>-7367764</v>
      </c>
      <c r="S254" s="142"/>
      <c r="T254" s="142"/>
      <c r="U254" s="142"/>
      <c r="AD254"/>
      <c r="AE254"/>
      <c r="AF254"/>
      <c r="AG254"/>
      <c r="AH254"/>
      <c r="AI254"/>
      <c r="AJ254"/>
      <c r="AK254"/>
      <c r="AL254"/>
      <c r="AM254"/>
      <c r="AN254"/>
      <c r="AO254"/>
      <c r="AP254"/>
      <c r="AQ254"/>
      <c r="AR254"/>
      <c r="AS254"/>
      <c r="AT254"/>
    </row>
    <row r="255" spans="1:46">
      <c r="A255" s="53" t="s">
        <v>109</v>
      </c>
      <c r="B255" s="53" t="s">
        <v>88</v>
      </c>
      <c r="C255" s="53" t="s">
        <v>129</v>
      </c>
      <c r="D255" s="53" t="s">
        <v>114</v>
      </c>
      <c r="E255" s="53" t="s">
        <v>90</v>
      </c>
      <c r="F255" s="53" t="s">
        <v>95</v>
      </c>
      <c r="G255" s="53"/>
      <c r="H255" s="53" t="s">
        <v>130</v>
      </c>
      <c r="I255" s="53">
        <v>-1283015</v>
      </c>
      <c r="J255" s="53"/>
      <c r="K255" s="53"/>
      <c r="L255" s="53"/>
      <c r="M255" s="53"/>
      <c r="N255" s="88"/>
      <c r="O255" s="88"/>
      <c r="P255" s="88"/>
      <c r="Q255" s="88"/>
      <c r="R255" s="88">
        <v>-1283015</v>
      </c>
      <c r="S255" s="142"/>
      <c r="T255" s="142"/>
      <c r="U255" s="142"/>
      <c r="V255"/>
      <c r="W255"/>
      <c r="X255"/>
      <c r="Y255"/>
      <c r="Z255"/>
      <c r="AA255"/>
      <c r="AB255"/>
      <c r="AC255"/>
      <c r="AD255"/>
      <c r="AE255"/>
      <c r="AF255"/>
      <c r="AG255"/>
      <c r="AH255"/>
      <c r="AI255"/>
      <c r="AJ255"/>
      <c r="AK255"/>
      <c r="AL255"/>
      <c r="AM255"/>
      <c r="AN255"/>
      <c r="AO255"/>
      <c r="AP255"/>
      <c r="AQ255"/>
      <c r="AR255"/>
      <c r="AS255"/>
      <c r="AT255"/>
    </row>
    <row r="256" spans="1:46">
      <c r="A256" s="53" t="s">
        <v>109</v>
      </c>
      <c r="B256" s="53" t="s">
        <v>88</v>
      </c>
      <c r="C256" s="53" t="s">
        <v>131</v>
      </c>
      <c r="D256" s="53" t="s">
        <v>114</v>
      </c>
      <c r="E256" s="53" t="s">
        <v>93</v>
      </c>
      <c r="F256" s="53" t="s">
        <v>91</v>
      </c>
      <c r="G256" s="53"/>
      <c r="H256" s="53" t="s">
        <v>132</v>
      </c>
      <c r="I256" s="53">
        <v>-174000</v>
      </c>
      <c r="J256" s="53"/>
      <c r="K256" s="53"/>
      <c r="L256" s="53"/>
      <c r="M256" s="53"/>
      <c r="N256" s="88"/>
      <c r="O256" s="88"/>
      <c r="P256" s="88"/>
      <c r="Q256" s="88"/>
      <c r="R256" s="88">
        <v>-174000</v>
      </c>
      <c r="S256" s="142"/>
      <c r="T256" s="142"/>
      <c r="U256" s="142"/>
      <c r="V256"/>
      <c r="W256"/>
      <c r="X256"/>
      <c r="Y256"/>
      <c r="Z256"/>
      <c r="AA256"/>
      <c r="AB256"/>
      <c r="AC256"/>
      <c r="AD256"/>
      <c r="AE256"/>
      <c r="AF256"/>
      <c r="AG256"/>
      <c r="AH256"/>
      <c r="AI256"/>
      <c r="AJ256"/>
      <c r="AK256"/>
      <c r="AL256"/>
      <c r="AM256"/>
      <c r="AN256"/>
      <c r="AO256"/>
      <c r="AP256"/>
      <c r="AQ256"/>
      <c r="AR256"/>
      <c r="AS256"/>
      <c r="AT256"/>
    </row>
    <row r="257" spans="1:46">
      <c r="A257" s="53" t="s">
        <v>109</v>
      </c>
      <c r="B257" s="53" t="s">
        <v>89</v>
      </c>
      <c r="C257" s="53" t="s">
        <v>121</v>
      </c>
      <c r="D257" s="53" t="s">
        <v>90</v>
      </c>
      <c r="E257" s="53" t="s">
        <v>114</v>
      </c>
      <c r="F257" s="53"/>
      <c r="G257" s="53" t="s">
        <v>122</v>
      </c>
      <c r="H257" s="53" t="s">
        <v>133</v>
      </c>
      <c r="I257" s="53">
        <v>600000</v>
      </c>
      <c r="J257" s="53"/>
      <c r="K257" s="53">
        <v>600000</v>
      </c>
      <c r="L257" s="53"/>
      <c r="M257" s="53"/>
      <c r="N257" s="88"/>
      <c r="O257" s="88"/>
      <c r="P257" s="88"/>
      <c r="Q257" s="88"/>
      <c r="R257" s="88"/>
      <c r="S257" s="142"/>
      <c r="T257" s="142"/>
      <c r="U257" s="142"/>
      <c r="V257"/>
      <c r="W257"/>
      <c r="X257"/>
      <c r="Y257"/>
      <c r="Z257"/>
      <c r="AA257"/>
      <c r="AB257"/>
      <c r="AC257"/>
      <c r="AD257"/>
      <c r="AE257"/>
      <c r="AF257"/>
      <c r="AG257"/>
      <c r="AH257"/>
      <c r="AI257"/>
      <c r="AJ257"/>
      <c r="AK257"/>
      <c r="AL257"/>
      <c r="AM257"/>
      <c r="AN257"/>
      <c r="AO257"/>
      <c r="AP257"/>
      <c r="AQ257"/>
      <c r="AR257"/>
      <c r="AS257"/>
      <c r="AT257"/>
    </row>
    <row r="258" spans="1:46">
      <c r="A258" s="58" t="s">
        <v>109</v>
      </c>
      <c r="B258" s="58" t="s">
        <v>105</v>
      </c>
      <c r="C258" s="58" t="s">
        <v>134</v>
      </c>
      <c r="D258" s="58" t="s">
        <v>90</v>
      </c>
      <c r="E258" s="58" t="s">
        <v>114</v>
      </c>
      <c r="F258" s="58" t="s">
        <v>109</v>
      </c>
      <c r="G258" s="58" t="s">
        <v>122</v>
      </c>
      <c r="H258" s="58" t="s">
        <v>135</v>
      </c>
      <c r="I258" s="58">
        <v>872494</v>
      </c>
      <c r="J258" s="58"/>
      <c r="K258" s="58">
        <v>872494</v>
      </c>
      <c r="L258" s="58"/>
      <c r="M258" s="58"/>
      <c r="N258" s="89"/>
      <c r="O258" s="89"/>
      <c r="P258" s="89"/>
      <c r="Q258" s="89"/>
      <c r="R258" s="89"/>
      <c r="S258" s="143"/>
      <c r="T258" s="143"/>
      <c r="U258" s="143"/>
      <c r="V258"/>
      <c r="W258"/>
      <c r="X258"/>
      <c r="Y258"/>
      <c r="Z258"/>
      <c r="AA258"/>
      <c r="AB258"/>
      <c r="AC258"/>
      <c r="AD258"/>
      <c r="AE258"/>
      <c r="AF258"/>
      <c r="AG258"/>
      <c r="AH258"/>
      <c r="AI258"/>
      <c r="AJ258"/>
      <c r="AK258"/>
      <c r="AL258"/>
      <c r="AM258"/>
      <c r="AN258"/>
      <c r="AO258"/>
      <c r="AP258"/>
      <c r="AQ258"/>
      <c r="AR258"/>
      <c r="AS258"/>
      <c r="AT258"/>
    </row>
    <row r="259" spans="1:46">
      <c r="A259" s="70" t="s">
        <v>91</v>
      </c>
      <c r="B259" s="70" t="s">
        <v>97</v>
      </c>
      <c r="C259" s="70" t="s">
        <v>136</v>
      </c>
      <c r="D259" s="70" t="s">
        <v>114</v>
      </c>
      <c r="E259" s="70" t="s">
        <v>90</v>
      </c>
      <c r="F259" s="70" t="s">
        <v>91</v>
      </c>
      <c r="G259" s="70"/>
      <c r="H259" s="70" t="s">
        <v>137</v>
      </c>
      <c r="I259" s="70">
        <v>-0.69</v>
      </c>
      <c r="J259" s="70"/>
      <c r="K259" s="70">
        <v>0</v>
      </c>
      <c r="L259" s="70"/>
      <c r="M259" s="70">
        <v>0</v>
      </c>
      <c r="N259" s="89"/>
      <c r="O259" s="89"/>
      <c r="P259" s="89"/>
      <c r="Q259" s="89"/>
      <c r="R259" s="89"/>
      <c r="S259" s="143"/>
      <c r="T259" s="143"/>
      <c r="U259" s="143"/>
      <c r="V259"/>
      <c r="W259"/>
      <c r="X259"/>
      <c r="Y259"/>
      <c r="Z259"/>
      <c r="AA259"/>
      <c r="AB259"/>
      <c r="AC259"/>
      <c r="AD259"/>
      <c r="AE259"/>
      <c r="AF259"/>
      <c r="AG259"/>
      <c r="AH259"/>
      <c r="AI259"/>
      <c r="AJ259"/>
      <c r="AK259"/>
      <c r="AL259"/>
      <c r="AM259"/>
      <c r="AN259"/>
      <c r="AO259"/>
      <c r="AP259"/>
      <c r="AQ259"/>
      <c r="AR259"/>
      <c r="AS259"/>
      <c r="AT259"/>
    </row>
    <row r="260" spans="1:46">
      <c r="A260" s="70" t="s">
        <v>91</v>
      </c>
      <c r="B260" s="70" t="s">
        <v>88</v>
      </c>
      <c r="C260" s="70" t="s">
        <v>138</v>
      </c>
      <c r="D260" s="70" t="s">
        <v>114</v>
      </c>
      <c r="E260" s="70" t="s">
        <v>106</v>
      </c>
      <c r="F260" s="70" t="s">
        <v>139</v>
      </c>
      <c r="G260" s="70"/>
      <c r="H260" s="70" t="s">
        <v>140</v>
      </c>
      <c r="I260" s="70">
        <v>-4252198</v>
      </c>
      <c r="J260" s="70"/>
      <c r="K260" s="70"/>
      <c r="L260" s="70"/>
      <c r="M260" s="70"/>
      <c r="N260" s="89"/>
      <c r="O260" s="89"/>
      <c r="P260" s="89"/>
      <c r="Q260" s="89"/>
      <c r="R260" s="89">
        <v>-4252198</v>
      </c>
      <c r="S260" s="143"/>
      <c r="T260" s="143"/>
      <c r="U260" s="143"/>
      <c r="V260"/>
      <c r="W260"/>
      <c r="X260"/>
      <c r="Y260"/>
      <c r="Z260"/>
      <c r="AA260"/>
      <c r="AB260"/>
      <c r="AC260"/>
      <c r="AD260"/>
      <c r="AE260"/>
      <c r="AF260"/>
      <c r="AG260"/>
      <c r="AH260"/>
      <c r="AI260"/>
      <c r="AJ260"/>
      <c r="AK260"/>
      <c r="AL260"/>
      <c r="AM260"/>
      <c r="AN260"/>
      <c r="AO260"/>
      <c r="AP260"/>
      <c r="AQ260"/>
      <c r="AR260"/>
      <c r="AS260"/>
      <c r="AT260"/>
    </row>
    <row r="261" spans="1:46">
      <c r="A261" s="75" t="s">
        <v>91</v>
      </c>
      <c r="B261" s="75" t="s">
        <v>88</v>
      </c>
      <c r="C261" s="75" t="s">
        <v>141</v>
      </c>
      <c r="D261" s="75" t="s">
        <v>114</v>
      </c>
      <c r="E261" s="75" t="s">
        <v>142</v>
      </c>
      <c r="F261" s="75" t="s">
        <v>95</v>
      </c>
      <c r="G261" s="75"/>
      <c r="H261" s="75" t="s">
        <v>143</v>
      </c>
      <c r="I261" s="75">
        <v>-350000</v>
      </c>
      <c r="J261" s="75"/>
      <c r="K261" s="75">
        <v>-350000</v>
      </c>
      <c r="L261" s="75"/>
      <c r="M261" s="75"/>
      <c r="N261" s="89"/>
      <c r="O261" s="89"/>
      <c r="P261" s="89"/>
      <c r="Q261" s="89"/>
      <c r="R261" s="89"/>
      <c r="S261" s="143"/>
      <c r="T261" s="143"/>
      <c r="U261" s="143"/>
      <c r="V261"/>
      <c r="W261"/>
      <c r="X261"/>
      <c r="Y261"/>
      <c r="Z261"/>
      <c r="AA261"/>
      <c r="AB261"/>
      <c r="AC261"/>
      <c r="AD261"/>
      <c r="AE261"/>
      <c r="AF261"/>
      <c r="AG261"/>
      <c r="AH261"/>
      <c r="AI261"/>
      <c r="AJ261"/>
      <c r="AK261"/>
      <c r="AL261"/>
      <c r="AM261"/>
      <c r="AN261"/>
      <c r="AO261"/>
      <c r="AP261"/>
      <c r="AQ261"/>
      <c r="AR261"/>
      <c r="AS261"/>
      <c r="AT261"/>
    </row>
    <row r="262" spans="1:46">
      <c r="A262" s="75" t="s">
        <v>91</v>
      </c>
      <c r="B262" s="75" t="s">
        <v>88</v>
      </c>
      <c r="C262" s="75" t="s">
        <v>144</v>
      </c>
      <c r="D262" s="75" t="s">
        <v>114</v>
      </c>
      <c r="E262" s="75" t="s">
        <v>90</v>
      </c>
      <c r="F262" s="75" t="s">
        <v>145</v>
      </c>
      <c r="G262" s="75"/>
      <c r="H262" s="75" t="s">
        <v>146</v>
      </c>
      <c r="I262" s="75">
        <v>-4927190</v>
      </c>
      <c r="J262" s="75"/>
      <c r="K262" s="75"/>
      <c r="L262" s="75"/>
      <c r="M262" s="75"/>
      <c r="N262" s="89"/>
      <c r="O262" s="89"/>
      <c r="P262" s="89"/>
      <c r="Q262" s="89"/>
      <c r="R262" s="89">
        <v>-4927190</v>
      </c>
      <c r="S262" s="143"/>
      <c r="T262" s="143"/>
      <c r="U262" s="143"/>
      <c r="V262"/>
      <c r="W262"/>
      <c r="X262"/>
      <c r="Y262"/>
      <c r="Z262"/>
      <c r="AA262"/>
      <c r="AB262"/>
      <c r="AC262"/>
      <c r="AD262"/>
      <c r="AE262"/>
      <c r="AF262"/>
      <c r="AG262"/>
      <c r="AH262"/>
      <c r="AI262"/>
      <c r="AJ262"/>
      <c r="AK262"/>
      <c r="AL262"/>
      <c r="AM262"/>
      <c r="AN262"/>
      <c r="AO262"/>
      <c r="AP262"/>
      <c r="AQ262"/>
      <c r="AR262"/>
      <c r="AS262"/>
      <c r="AT262"/>
    </row>
    <row r="263" spans="1:46">
      <c r="A263" s="16" t="s">
        <v>91</v>
      </c>
      <c r="B263" s="16" t="s">
        <v>88</v>
      </c>
      <c r="C263" s="16" t="s">
        <v>147</v>
      </c>
      <c r="D263" s="16" t="s">
        <v>114</v>
      </c>
      <c r="E263" s="16" t="s">
        <v>148</v>
      </c>
      <c r="F263" s="16" t="s">
        <v>92</v>
      </c>
      <c r="H263" s="16" t="s">
        <v>149</v>
      </c>
      <c r="I263" s="16">
        <v>-185000</v>
      </c>
      <c r="N263" s="89"/>
      <c r="O263" s="89"/>
      <c r="P263" s="89"/>
      <c r="Q263" s="89"/>
      <c r="R263" s="89">
        <v>-185000</v>
      </c>
      <c r="S263" s="143"/>
      <c r="T263" s="143"/>
      <c r="U263" s="143"/>
      <c r="Z263"/>
      <c r="AA263"/>
      <c r="AB263"/>
      <c r="AC263"/>
      <c r="AD263"/>
      <c r="AE263"/>
      <c r="AF263"/>
      <c r="AG263"/>
      <c r="AH263"/>
      <c r="AI263"/>
      <c r="AJ263"/>
      <c r="AK263"/>
      <c r="AL263"/>
      <c r="AM263"/>
      <c r="AN263"/>
      <c r="AO263"/>
      <c r="AP263"/>
      <c r="AQ263"/>
      <c r="AR263"/>
      <c r="AS263"/>
      <c r="AT263"/>
    </row>
    <row r="264" spans="1:46">
      <c r="A264" s="16" t="s">
        <v>91</v>
      </c>
      <c r="B264" s="16" t="s">
        <v>89</v>
      </c>
      <c r="C264" s="16" t="s">
        <v>131</v>
      </c>
      <c r="D264" s="16" t="s">
        <v>93</v>
      </c>
      <c r="E264" s="16" t="s">
        <v>114</v>
      </c>
      <c r="F264" s="16" t="s">
        <v>91</v>
      </c>
      <c r="H264" s="16" t="s">
        <v>150</v>
      </c>
      <c r="I264" s="16">
        <v>174000</v>
      </c>
      <c r="N264" s="89"/>
      <c r="O264" s="89"/>
      <c r="P264" s="89"/>
      <c r="Q264" s="89"/>
      <c r="R264" s="89">
        <v>174000</v>
      </c>
      <c r="S264" s="143"/>
      <c r="T264" s="143"/>
      <c r="U264" s="143"/>
      <c r="Z264"/>
      <c r="AA264"/>
      <c r="AB264"/>
      <c r="AC264"/>
      <c r="AD264"/>
      <c r="AE264"/>
      <c r="AF264"/>
      <c r="AG264"/>
      <c r="AH264"/>
      <c r="AI264"/>
      <c r="AJ264"/>
      <c r="AK264"/>
      <c r="AL264"/>
      <c r="AM264"/>
      <c r="AN264"/>
      <c r="AO264"/>
      <c r="AP264"/>
      <c r="AQ264"/>
      <c r="AR264"/>
      <c r="AS264"/>
      <c r="AT264"/>
    </row>
    <row r="265" spans="1:46">
      <c r="A265" s="84" t="s">
        <v>91</v>
      </c>
      <c r="B265" s="84" t="s">
        <v>89</v>
      </c>
      <c r="C265" s="84" t="s">
        <v>127</v>
      </c>
      <c r="D265" s="84" t="s">
        <v>90</v>
      </c>
      <c r="E265" s="84" t="s">
        <v>114</v>
      </c>
      <c r="F265" s="84"/>
      <c r="G265" s="84"/>
      <c r="H265" s="84" t="s">
        <v>151</v>
      </c>
      <c r="I265" s="84">
        <v>7367764</v>
      </c>
      <c r="J265" s="84"/>
      <c r="K265" s="84"/>
      <c r="L265" s="84"/>
      <c r="M265" s="84"/>
      <c r="N265" s="89"/>
      <c r="O265" s="89"/>
      <c r="P265" s="89"/>
      <c r="Q265" s="89"/>
      <c r="R265" s="89">
        <v>7367764</v>
      </c>
      <c r="S265" s="143"/>
      <c r="T265" s="143"/>
      <c r="U265" s="143"/>
      <c r="Z265"/>
      <c r="AA265"/>
      <c r="AB265"/>
      <c r="AC265"/>
      <c r="AD265"/>
      <c r="AE265"/>
      <c r="AF265"/>
      <c r="AG265"/>
      <c r="AH265"/>
      <c r="AI265"/>
      <c r="AJ265"/>
      <c r="AK265"/>
      <c r="AL265"/>
      <c r="AM265"/>
      <c r="AN265"/>
      <c r="AO265"/>
      <c r="AP265"/>
      <c r="AQ265"/>
      <c r="AR265"/>
      <c r="AS265"/>
      <c r="AT265"/>
    </row>
    <row r="266" spans="1:46">
      <c r="A266" s="84" t="s">
        <v>91</v>
      </c>
      <c r="B266" s="84" t="s">
        <v>101</v>
      </c>
      <c r="C266" s="84" t="s">
        <v>152</v>
      </c>
      <c r="D266" s="84" t="s">
        <v>114</v>
      </c>
      <c r="E266" s="84" t="s">
        <v>90</v>
      </c>
      <c r="F266" s="84"/>
      <c r="G266" s="84"/>
      <c r="H266" s="84" t="s">
        <v>153</v>
      </c>
      <c r="I266" s="84">
        <v>-456850</v>
      </c>
      <c r="J266" s="84"/>
      <c r="K266" s="84">
        <v>-456850</v>
      </c>
      <c r="L266" s="84"/>
      <c r="M266" s="84"/>
      <c r="N266" s="89"/>
      <c r="O266" s="89"/>
      <c r="P266" s="89"/>
      <c r="Q266" s="89"/>
      <c r="R266" s="89"/>
      <c r="S266" s="143"/>
      <c r="T266" s="142"/>
      <c r="U266" s="142"/>
      <c r="Z266"/>
      <c r="AA266"/>
      <c r="AB266"/>
      <c r="AC266"/>
      <c r="AD266"/>
      <c r="AE266"/>
      <c r="AF266"/>
      <c r="AG266"/>
      <c r="AH266"/>
      <c r="AI266"/>
      <c r="AJ266"/>
      <c r="AK266"/>
      <c r="AL266"/>
      <c r="AM266"/>
      <c r="AN266"/>
      <c r="AO266"/>
      <c r="AP266"/>
      <c r="AQ266"/>
      <c r="AR266"/>
      <c r="AS266"/>
      <c r="AT266"/>
    </row>
    <row r="267" spans="1:46">
      <c r="A267" s="84" t="s">
        <v>95</v>
      </c>
      <c r="B267" s="84" t="s">
        <v>88</v>
      </c>
      <c r="C267" s="84" t="s">
        <v>154</v>
      </c>
      <c r="D267" s="84" t="s">
        <v>114</v>
      </c>
      <c r="E267" s="84" t="s">
        <v>111</v>
      </c>
      <c r="F267" s="84" t="s">
        <v>94</v>
      </c>
      <c r="G267" s="84"/>
      <c r="H267" s="84" t="s">
        <v>155</v>
      </c>
      <c r="I267" s="84">
        <v>-280053</v>
      </c>
      <c r="J267" s="84"/>
      <c r="K267" s="84"/>
      <c r="L267" s="84"/>
      <c r="M267" s="84"/>
      <c r="N267" s="89"/>
      <c r="O267" s="89"/>
      <c r="P267" s="89"/>
      <c r="Q267" s="89"/>
      <c r="R267" s="89">
        <v>-280053</v>
      </c>
      <c r="S267" s="143"/>
      <c r="T267" s="143"/>
      <c r="U267" s="143"/>
      <c r="Z267"/>
      <c r="AA267"/>
      <c r="AB267"/>
      <c r="AC267"/>
      <c r="AD267"/>
      <c r="AE267"/>
      <c r="AF267"/>
      <c r="AG267"/>
      <c r="AH267"/>
      <c r="AI267"/>
      <c r="AJ267"/>
      <c r="AK267"/>
      <c r="AL267"/>
      <c r="AM267"/>
      <c r="AN267"/>
      <c r="AO267"/>
      <c r="AP267"/>
      <c r="AQ267"/>
      <c r="AR267"/>
      <c r="AS267"/>
      <c r="AT267"/>
    </row>
    <row r="268" spans="1:46">
      <c r="A268" s="84" t="s">
        <v>95</v>
      </c>
      <c r="B268" s="84" t="s">
        <v>89</v>
      </c>
      <c r="C268" s="84" t="s">
        <v>129</v>
      </c>
      <c r="D268" s="84" t="s">
        <v>90</v>
      </c>
      <c r="E268" s="84" t="s">
        <v>114</v>
      </c>
      <c r="F268" s="84"/>
      <c r="G268" s="84"/>
      <c r="H268" s="84" t="s">
        <v>156</v>
      </c>
      <c r="I268" s="84">
        <v>1283015</v>
      </c>
      <c r="J268" s="84"/>
      <c r="K268" s="84"/>
      <c r="L268" s="84"/>
      <c r="M268" s="84"/>
      <c r="N268" s="89"/>
      <c r="O268" s="89"/>
      <c r="P268" s="89"/>
      <c r="Q268" s="89"/>
      <c r="R268" s="89">
        <v>1283015</v>
      </c>
      <c r="S268" s="143"/>
      <c r="T268" s="143"/>
      <c r="U268" s="143"/>
      <c r="Z268"/>
      <c r="AA268"/>
      <c r="AB268"/>
      <c r="AC268"/>
      <c r="AD268"/>
      <c r="AE268"/>
      <c r="AF268"/>
      <c r="AG268"/>
      <c r="AH268"/>
      <c r="AI268"/>
      <c r="AJ268"/>
      <c r="AK268"/>
      <c r="AL268"/>
      <c r="AM268"/>
      <c r="AN268"/>
      <c r="AO268"/>
      <c r="AP268"/>
      <c r="AQ268"/>
      <c r="AR268"/>
      <c r="AS268"/>
      <c r="AT268"/>
    </row>
    <row r="269" spans="1:46">
      <c r="A269" s="84" t="s">
        <v>95</v>
      </c>
      <c r="B269" s="84" t="s">
        <v>89</v>
      </c>
      <c r="C269" s="84" t="s">
        <v>125</v>
      </c>
      <c r="D269" s="84" t="s">
        <v>112</v>
      </c>
      <c r="E269" s="84" t="s">
        <v>114</v>
      </c>
      <c r="F269" s="84"/>
      <c r="G269" s="84"/>
      <c r="H269" s="84" t="s">
        <v>157</v>
      </c>
      <c r="I269" s="84">
        <v>1515000</v>
      </c>
      <c r="J269" s="84"/>
      <c r="K269" s="84"/>
      <c r="L269" s="84"/>
      <c r="M269" s="84"/>
      <c r="N269" s="89"/>
      <c r="O269" s="89"/>
      <c r="P269" s="89"/>
      <c r="Q269" s="89"/>
      <c r="R269" s="89">
        <v>1515000</v>
      </c>
      <c r="S269" s="143"/>
      <c r="T269" s="143"/>
      <c r="U269" s="143"/>
      <c r="Z269"/>
      <c r="AA269"/>
      <c r="AB269"/>
      <c r="AC269"/>
      <c r="AD269"/>
      <c r="AE269"/>
      <c r="AF269"/>
      <c r="AG269"/>
      <c r="AH269"/>
      <c r="AI269"/>
      <c r="AJ269"/>
      <c r="AK269"/>
      <c r="AL269"/>
      <c r="AM269"/>
      <c r="AN269"/>
      <c r="AO269"/>
      <c r="AP269"/>
      <c r="AQ269"/>
      <c r="AR269"/>
      <c r="AS269"/>
      <c r="AT269"/>
    </row>
    <row r="270" spans="1:46">
      <c r="A270" s="84" t="s">
        <v>95</v>
      </c>
      <c r="B270" s="84" t="s">
        <v>89</v>
      </c>
      <c r="C270" s="84" t="s">
        <v>141</v>
      </c>
      <c r="D270" s="84" t="s">
        <v>142</v>
      </c>
      <c r="E270" s="84" t="s">
        <v>114</v>
      </c>
      <c r="F270" s="84" t="s">
        <v>95</v>
      </c>
      <c r="G270" s="84"/>
      <c r="H270" s="84" t="s">
        <v>158</v>
      </c>
      <c r="I270" s="84">
        <v>350000</v>
      </c>
      <c r="J270" s="84"/>
      <c r="K270" s="84">
        <v>350000</v>
      </c>
      <c r="L270" s="84"/>
      <c r="M270" s="84"/>
      <c r="N270" s="89"/>
      <c r="O270" s="89"/>
      <c r="P270" s="89"/>
      <c r="Q270" s="89"/>
      <c r="R270" s="89"/>
      <c r="S270" s="143"/>
      <c r="T270" s="143"/>
      <c r="U270" s="143"/>
      <c r="Z270"/>
      <c r="AA270"/>
      <c r="AB270"/>
      <c r="AC270"/>
      <c r="AD270"/>
      <c r="AE270"/>
      <c r="AF270"/>
      <c r="AG270"/>
      <c r="AH270"/>
      <c r="AI270"/>
      <c r="AJ270"/>
      <c r="AK270"/>
      <c r="AL270"/>
      <c r="AM270"/>
      <c r="AN270"/>
      <c r="AO270"/>
      <c r="AP270"/>
      <c r="AQ270"/>
      <c r="AR270"/>
      <c r="AS270"/>
      <c r="AT270"/>
    </row>
    <row r="271" spans="1:46">
      <c r="A271" s="84" t="s">
        <v>95</v>
      </c>
      <c r="B271" s="84" t="s">
        <v>89</v>
      </c>
      <c r="C271" s="84" t="s">
        <v>144</v>
      </c>
      <c r="D271" s="84" t="s">
        <v>90</v>
      </c>
      <c r="E271" s="84" t="s">
        <v>114</v>
      </c>
      <c r="F271" s="84"/>
      <c r="G271" s="84"/>
      <c r="H271" s="84" t="s">
        <v>146</v>
      </c>
      <c r="I271" s="84">
        <v>3286214</v>
      </c>
      <c r="J271" s="84"/>
      <c r="K271" s="84"/>
      <c r="L271" s="84"/>
      <c r="M271" s="84"/>
      <c r="N271" s="89"/>
      <c r="O271" s="89"/>
      <c r="P271" s="89"/>
      <c r="Q271" s="89"/>
      <c r="R271" s="89">
        <v>3286214</v>
      </c>
      <c r="S271" s="143"/>
      <c r="T271" s="143"/>
      <c r="U271" s="143"/>
      <c r="Z271"/>
      <c r="AA271"/>
      <c r="AB271"/>
      <c r="AC271"/>
      <c r="AD271"/>
      <c r="AE271"/>
      <c r="AF271"/>
      <c r="AG271"/>
      <c r="AH271"/>
      <c r="AI271"/>
      <c r="AJ271"/>
      <c r="AK271"/>
      <c r="AL271"/>
      <c r="AM271"/>
      <c r="AN271"/>
      <c r="AO271"/>
      <c r="AP271"/>
      <c r="AQ271"/>
      <c r="AR271"/>
      <c r="AS271"/>
      <c r="AT271"/>
    </row>
    <row r="272" spans="1:46">
      <c r="A272" s="84" t="s">
        <v>94</v>
      </c>
      <c r="B272" s="84" t="s">
        <v>89</v>
      </c>
      <c r="C272" s="84" t="s">
        <v>138</v>
      </c>
      <c r="D272" s="84" t="s">
        <v>106</v>
      </c>
      <c r="E272" s="84" t="s">
        <v>114</v>
      </c>
      <c r="F272" s="84" t="s">
        <v>94</v>
      </c>
      <c r="G272" s="84"/>
      <c r="H272" s="84" t="s">
        <v>140</v>
      </c>
      <c r="I272" s="84">
        <v>1200000</v>
      </c>
      <c r="J272" s="84"/>
      <c r="K272" s="84"/>
      <c r="L272" s="84"/>
      <c r="M272" s="84"/>
      <c r="N272" s="89"/>
      <c r="O272" s="89"/>
      <c r="P272" s="89"/>
      <c r="Q272" s="89"/>
      <c r="R272" s="89">
        <v>1200000</v>
      </c>
      <c r="S272" s="143"/>
      <c r="T272" s="143"/>
      <c r="U272" s="143"/>
      <c r="Z272"/>
      <c r="AA272"/>
      <c r="AB272"/>
      <c r="AC272"/>
      <c r="AD272"/>
      <c r="AE272"/>
      <c r="AF272"/>
      <c r="AG272"/>
      <c r="AH272"/>
      <c r="AI272"/>
      <c r="AJ272"/>
      <c r="AK272"/>
      <c r="AL272"/>
      <c r="AM272"/>
      <c r="AN272"/>
      <c r="AO272"/>
      <c r="AP272"/>
      <c r="AQ272"/>
      <c r="AR272"/>
      <c r="AS272"/>
      <c r="AT272"/>
    </row>
    <row r="273" spans="1:46">
      <c r="A273" s="84" t="s">
        <v>94</v>
      </c>
      <c r="B273" s="84" t="s">
        <v>89</v>
      </c>
      <c r="C273" s="84" t="s">
        <v>144</v>
      </c>
      <c r="D273" s="84" t="s">
        <v>90</v>
      </c>
      <c r="E273" s="84" t="s">
        <v>114</v>
      </c>
      <c r="F273" s="84"/>
      <c r="G273" s="84"/>
      <c r="H273" s="84" t="s">
        <v>146</v>
      </c>
      <c r="I273" s="84">
        <v>1437910</v>
      </c>
      <c r="J273" s="84"/>
      <c r="K273" s="84"/>
      <c r="L273" s="84"/>
      <c r="M273" s="84"/>
      <c r="N273" s="89"/>
      <c r="O273" s="89"/>
      <c r="P273" s="89"/>
      <c r="Q273" s="89"/>
      <c r="R273" s="89">
        <v>1437910</v>
      </c>
      <c r="S273" s="143"/>
      <c r="T273" s="143"/>
      <c r="U273" s="143"/>
      <c r="Z273"/>
      <c r="AA273"/>
      <c r="AB273"/>
      <c r="AC273"/>
      <c r="AD273"/>
      <c r="AE273"/>
      <c r="AF273"/>
      <c r="AG273"/>
      <c r="AH273"/>
      <c r="AI273"/>
      <c r="AJ273"/>
      <c r="AK273"/>
      <c r="AL273"/>
      <c r="AM273"/>
      <c r="AN273"/>
      <c r="AO273"/>
      <c r="AP273"/>
      <c r="AQ273"/>
      <c r="AR273"/>
      <c r="AS273"/>
      <c r="AT273"/>
    </row>
    <row r="274" spans="1:46">
      <c r="A274" s="84" t="s">
        <v>94</v>
      </c>
      <c r="B274" s="84" t="s">
        <v>89</v>
      </c>
      <c r="C274" s="84" t="s">
        <v>154</v>
      </c>
      <c r="D274" s="84" t="s">
        <v>111</v>
      </c>
      <c r="E274" s="84" t="s">
        <v>114</v>
      </c>
      <c r="F274" s="84" t="s">
        <v>94</v>
      </c>
      <c r="G274" s="84"/>
      <c r="H274" s="84" t="s">
        <v>155</v>
      </c>
      <c r="I274" s="84">
        <v>280053</v>
      </c>
      <c r="J274" s="84"/>
      <c r="K274" s="84"/>
      <c r="L274" s="84"/>
      <c r="M274" s="84"/>
      <c r="N274" s="89"/>
      <c r="O274" s="89"/>
      <c r="P274" s="89"/>
      <c r="Q274" s="89"/>
      <c r="R274" s="89">
        <v>280053</v>
      </c>
      <c r="S274" s="143"/>
      <c r="T274" s="143"/>
      <c r="U274" s="143"/>
      <c r="Z274"/>
      <c r="AA274"/>
      <c r="AB274"/>
      <c r="AC274"/>
      <c r="AD274"/>
      <c r="AE274"/>
      <c r="AF274"/>
      <c r="AG274"/>
      <c r="AH274"/>
      <c r="AI274"/>
      <c r="AJ274"/>
      <c r="AK274"/>
      <c r="AL274"/>
      <c r="AM274"/>
      <c r="AN274"/>
      <c r="AO274"/>
      <c r="AP274"/>
      <c r="AQ274"/>
      <c r="AR274"/>
      <c r="AS274"/>
      <c r="AT274"/>
    </row>
    <row r="275" spans="1:46">
      <c r="A275" s="84" t="s">
        <v>98</v>
      </c>
      <c r="B275" s="84" t="s">
        <v>88</v>
      </c>
      <c r="C275" s="84" t="s">
        <v>113</v>
      </c>
      <c r="D275" s="84" t="s">
        <v>114</v>
      </c>
      <c r="E275" s="84" t="s">
        <v>110</v>
      </c>
      <c r="F275" s="84" t="s">
        <v>99</v>
      </c>
      <c r="G275" s="84" t="s">
        <v>115</v>
      </c>
      <c r="H275" s="84" t="s">
        <v>116</v>
      </c>
      <c r="I275" s="84">
        <v>-643000</v>
      </c>
      <c r="J275" s="84"/>
      <c r="K275" s="84"/>
      <c r="L275" s="84"/>
      <c r="M275" s="84"/>
      <c r="N275" s="89"/>
      <c r="O275" s="89">
        <v>-643000</v>
      </c>
      <c r="P275" s="89"/>
      <c r="Q275" s="89"/>
      <c r="R275" s="89"/>
      <c r="S275" s="143"/>
      <c r="T275" s="143"/>
      <c r="U275" s="143"/>
      <c r="AD275"/>
      <c r="AE275"/>
      <c r="AF275"/>
      <c r="AG275"/>
      <c r="AH275"/>
      <c r="AI275"/>
      <c r="AJ275"/>
      <c r="AK275"/>
      <c r="AL275"/>
      <c r="AM275"/>
      <c r="AN275"/>
      <c r="AO275"/>
      <c r="AP275"/>
      <c r="AQ275"/>
      <c r="AR275"/>
      <c r="AS275"/>
      <c r="AT275"/>
    </row>
    <row r="276" spans="1:46">
      <c r="A276" s="87" t="s">
        <v>98</v>
      </c>
      <c r="B276" s="87" t="s">
        <v>88</v>
      </c>
      <c r="C276" s="87" t="s">
        <v>159</v>
      </c>
      <c r="D276" s="87" t="s">
        <v>114</v>
      </c>
      <c r="E276" s="87" t="s">
        <v>142</v>
      </c>
      <c r="F276" s="87" t="s">
        <v>92</v>
      </c>
      <c r="G276" s="87" t="s">
        <v>160</v>
      </c>
      <c r="H276" s="87" t="s">
        <v>161</v>
      </c>
      <c r="I276" s="87">
        <v>-650000</v>
      </c>
      <c r="J276" s="87"/>
      <c r="K276" s="87"/>
      <c r="L276" s="87"/>
      <c r="M276" s="87"/>
      <c r="N276" s="89"/>
      <c r="O276" s="89"/>
      <c r="P276" s="89"/>
      <c r="Q276" s="89"/>
      <c r="R276" s="89">
        <v>-650000</v>
      </c>
      <c r="S276" s="143"/>
      <c r="T276" s="143"/>
      <c r="U276" s="143"/>
      <c r="AD276"/>
      <c r="AE276"/>
      <c r="AF276"/>
      <c r="AG276"/>
      <c r="AH276"/>
      <c r="AI276"/>
      <c r="AJ276"/>
      <c r="AK276"/>
      <c r="AL276"/>
      <c r="AM276"/>
      <c r="AN276"/>
      <c r="AO276"/>
      <c r="AP276"/>
      <c r="AQ276"/>
      <c r="AR276"/>
      <c r="AS276"/>
      <c r="AT276"/>
    </row>
    <row r="277" spans="1:46">
      <c r="A277" s="87" t="s">
        <v>98</v>
      </c>
      <c r="B277" s="87" t="s">
        <v>88</v>
      </c>
      <c r="C277" s="87" t="s">
        <v>162</v>
      </c>
      <c r="D277" s="87" t="s">
        <v>114</v>
      </c>
      <c r="E277" s="87" t="s">
        <v>111</v>
      </c>
      <c r="F277" s="87" t="s">
        <v>99</v>
      </c>
      <c r="G277" s="87" t="s">
        <v>160</v>
      </c>
      <c r="H277" s="87" t="s">
        <v>163</v>
      </c>
      <c r="I277" s="87">
        <v>-151000</v>
      </c>
      <c r="J277" s="87"/>
      <c r="K277" s="87"/>
      <c r="L277" s="87"/>
      <c r="M277" s="87"/>
      <c r="N277" s="89"/>
      <c r="O277" s="89"/>
      <c r="P277" s="89"/>
      <c r="Q277" s="89"/>
      <c r="R277" s="89">
        <v>-151000</v>
      </c>
      <c r="S277" s="143"/>
      <c r="T277" s="143"/>
      <c r="U277" s="143"/>
      <c r="AD277"/>
      <c r="AE277"/>
      <c r="AF277"/>
      <c r="AG277"/>
      <c r="AH277"/>
      <c r="AI277"/>
      <c r="AJ277"/>
      <c r="AK277"/>
      <c r="AL277"/>
      <c r="AM277"/>
      <c r="AN277"/>
      <c r="AO277"/>
      <c r="AP277"/>
      <c r="AQ277"/>
      <c r="AR277"/>
      <c r="AS277"/>
      <c r="AT277"/>
    </row>
    <row r="278" spans="1:46">
      <c r="A278" s="87" t="s">
        <v>98</v>
      </c>
      <c r="B278" s="87" t="s">
        <v>89</v>
      </c>
      <c r="C278" s="87" t="s">
        <v>138</v>
      </c>
      <c r="D278" s="87" t="s">
        <v>106</v>
      </c>
      <c r="E278" s="87" t="s">
        <v>114</v>
      </c>
      <c r="F278" s="87" t="s">
        <v>98</v>
      </c>
      <c r="G278" s="87"/>
      <c r="H278" s="87" t="s">
        <v>140</v>
      </c>
      <c r="I278" s="87">
        <v>2000000</v>
      </c>
      <c r="J278" s="87"/>
      <c r="K278" s="87"/>
      <c r="L278" s="87"/>
      <c r="M278" s="87"/>
      <c r="N278" s="89"/>
      <c r="O278" s="89"/>
      <c r="P278" s="89"/>
      <c r="Q278" s="89"/>
      <c r="R278" s="89">
        <v>2000000</v>
      </c>
      <c r="S278" s="143"/>
      <c r="T278" s="143"/>
      <c r="U278" s="143"/>
      <c r="AD278"/>
      <c r="AE278"/>
      <c r="AF278"/>
      <c r="AG278"/>
      <c r="AH278"/>
      <c r="AI278"/>
      <c r="AJ278"/>
      <c r="AK278"/>
      <c r="AL278"/>
      <c r="AM278"/>
      <c r="AN278"/>
      <c r="AO278"/>
      <c r="AP278"/>
      <c r="AQ278"/>
      <c r="AR278"/>
      <c r="AS278"/>
      <c r="AT278"/>
    </row>
    <row r="279" spans="1:46">
      <c r="A279" s="87" t="s">
        <v>98</v>
      </c>
      <c r="B279" s="87" t="s">
        <v>89</v>
      </c>
      <c r="C279" s="87" t="s">
        <v>144</v>
      </c>
      <c r="D279" s="87" t="s">
        <v>90</v>
      </c>
      <c r="E279" s="87" t="s">
        <v>114</v>
      </c>
      <c r="F279" s="87" t="s">
        <v>98</v>
      </c>
      <c r="G279" s="87"/>
      <c r="H279" s="87" t="s">
        <v>146</v>
      </c>
      <c r="I279" s="87">
        <v>203066</v>
      </c>
      <c r="J279" s="87"/>
      <c r="K279" s="87"/>
      <c r="L279" s="87"/>
      <c r="M279" s="87"/>
      <c r="N279" s="89"/>
      <c r="O279" s="89"/>
      <c r="P279" s="89"/>
      <c r="Q279" s="89"/>
      <c r="R279" s="89">
        <v>203066</v>
      </c>
      <c r="S279" s="143"/>
      <c r="T279" s="143"/>
      <c r="U279" s="143"/>
      <c r="AD279"/>
      <c r="AE279"/>
      <c r="AF279"/>
      <c r="AG279"/>
      <c r="AH279"/>
      <c r="AI279"/>
      <c r="AJ279"/>
      <c r="AK279"/>
      <c r="AL279"/>
      <c r="AM279"/>
      <c r="AN279"/>
      <c r="AO279"/>
      <c r="AP279"/>
      <c r="AQ279"/>
      <c r="AR279"/>
      <c r="AS279"/>
      <c r="AT279"/>
    </row>
    <row r="280" spans="1:46">
      <c r="A280" s="87" t="s">
        <v>98</v>
      </c>
      <c r="B280" s="87" t="s">
        <v>105</v>
      </c>
      <c r="C280" s="87" t="s">
        <v>164</v>
      </c>
      <c r="D280" s="87" t="s">
        <v>142</v>
      </c>
      <c r="E280" s="87" t="s">
        <v>114</v>
      </c>
      <c r="F280" s="87" t="s">
        <v>98</v>
      </c>
      <c r="G280" s="87" t="s">
        <v>108</v>
      </c>
      <c r="H280" s="87" t="s">
        <v>165</v>
      </c>
      <c r="I280" s="87">
        <v>45000</v>
      </c>
      <c r="J280" s="87"/>
      <c r="K280" s="87">
        <v>45000</v>
      </c>
      <c r="L280" s="87"/>
      <c r="M280" s="87"/>
      <c r="N280" s="89"/>
      <c r="O280" s="89"/>
      <c r="P280" s="89"/>
      <c r="Q280" s="89"/>
      <c r="R280" s="89"/>
      <c r="S280" s="143"/>
      <c r="T280" s="143"/>
      <c r="U280" s="143"/>
      <c r="AD280"/>
      <c r="AE280"/>
      <c r="AF280"/>
      <c r="AG280"/>
      <c r="AH280"/>
      <c r="AI280"/>
      <c r="AJ280"/>
      <c r="AK280"/>
      <c r="AL280"/>
      <c r="AM280"/>
      <c r="AN280"/>
      <c r="AO280"/>
      <c r="AP280"/>
      <c r="AQ280"/>
      <c r="AR280"/>
      <c r="AS280"/>
      <c r="AT280"/>
    </row>
    <row r="281" spans="1:46">
      <c r="A281" s="87" t="s">
        <v>98</v>
      </c>
      <c r="B281" s="87" t="s">
        <v>105</v>
      </c>
      <c r="C281" s="87" t="s">
        <v>166</v>
      </c>
      <c r="D281" s="87" t="s">
        <v>107</v>
      </c>
      <c r="E281" s="87" t="s">
        <v>114</v>
      </c>
      <c r="F281" s="87" t="s">
        <v>98</v>
      </c>
      <c r="G281" s="87" t="s">
        <v>117</v>
      </c>
      <c r="H281" s="87" t="s">
        <v>167</v>
      </c>
      <c r="I281" s="87">
        <v>141056</v>
      </c>
      <c r="J281" s="87"/>
      <c r="K281" s="87">
        <v>141056</v>
      </c>
      <c r="L281" s="87"/>
      <c r="M281" s="87"/>
      <c r="N281" s="89"/>
      <c r="O281" s="89"/>
      <c r="P281" s="89"/>
      <c r="Q281" s="89"/>
      <c r="R281" s="89"/>
      <c r="S281" s="143"/>
      <c r="T281" s="143"/>
      <c r="U281" s="143"/>
      <c r="AD281"/>
      <c r="AE281"/>
      <c r="AF281"/>
      <c r="AG281"/>
      <c r="AH281"/>
      <c r="AI281"/>
      <c r="AJ281"/>
      <c r="AK281"/>
      <c r="AL281"/>
      <c r="AM281"/>
      <c r="AN281"/>
      <c r="AO281"/>
      <c r="AP281"/>
      <c r="AQ281"/>
      <c r="AR281"/>
      <c r="AS281"/>
      <c r="AT281"/>
    </row>
    <row r="282" spans="1:46">
      <c r="A282" s="87" t="s">
        <v>98</v>
      </c>
      <c r="B282" s="87" t="s">
        <v>101</v>
      </c>
      <c r="C282" s="87" t="s">
        <v>168</v>
      </c>
      <c r="D282" s="87" t="s">
        <v>114</v>
      </c>
      <c r="E282" s="87" t="s">
        <v>90</v>
      </c>
      <c r="F282" s="87" t="s">
        <v>98</v>
      </c>
      <c r="G282" s="87" t="s">
        <v>169</v>
      </c>
      <c r="H282" s="87" t="s">
        <v>170</v>
      </c>
      <c r="I282" s="87">
        <v>-291818</v>
      </c>
      <c r="J282" s="87"/>
      <c r="K282" s="87"/>
      <c r="L282" s="87"/>
      <c r="M282" s="87"/>
      <c r="N282" s="89"/>
      <c r="O282" s="89"/>
      <c r="P282" s="89"/>
      <c r="Q282" s="89"/>
      <c r="R282" s="89">
        <v>-291818</v>
      </c>
      <c r="S282" s="143"/>
      <c r="T282" s="143"/>
      <c r="U282" s="143"/>
      <c r="AD282"/>
      <c r="AE282"/>
      <c r="AF282"/>
      <c r="AG282"/>
      <c r="AH282"/>
      <c r="AI282"/>
      <c r="AJ282"/>
      <c r="AK282"/>
      <c r="AL282"/>
      <c r="AM282"/>
      <c r="AN282"/>
      <c r="AO282"/>
      <c r="AP282"/>
      <c r="AQ282"/>
      <c r="AR282"/>
      <c r="AS282"/>
      <c r="AT282"/>
    </row>
    <row r="283" spans="1:46">
      <c r="A283" s="87" t="s">
        <v>99</v>
      </c>
      <c r="B283" s="87" t="s">
        <v>88</v>
      </c>
      <c r="C283" s="87" t="s">
        <v>183</v>
      </c>
      <c r="D283" s="87" t="s">
        <v>114</v>
      </c>
      <c r="E283" s="87" t="s">
        <v>90</v>
      </c>
      <c r="F283" s="87" t="s">
        <v>92</v>
      </c>
      <c r="G283" s="87" t="s">
        <v>184</v>
      </c>
      <c r="H283" s="87" t="s">
        <v>185</v>
      </c>
      <c r="I283" s="87">
        <v>-1037355</v>
      </c>
      <c r="J283" s="87"/>
      <c r="K283" s="87"/>
      <c r="L283" s="87"/>
      <c r="M283" s="87"/>
      <c r="N283" s="89"/>
      <c r="O283" s="89"/>
      <c r="P283" s="89"/>
      <c r="Q283" s="89"/>
      <c r="R283" s="89">
        <v>-1037355</v>
      </c>
      <c r="S283" s="143"/>
      <c r="T283" s="143"/>
      <c r="U283" s="143"/>
      <c r="AD283"/>
      <c r="AE283"/>
      <c r="AF283"/>
      <c r="AG283"/>
      <c r="AH283"/>
      <c r="AI283"/>
      <c r="AJ283"/>
      <c r="AK283"/>
      <c r="AL283"/>
      <c r="AM283"/>
      <c r="AN283"/>
      <c r="AO283"/>
      <c r="AP283"/>
      <c r="AQ283"/>
      <c r="AR283"/>
      <c r="AS283"/>
      <c r="AT283"/>
    </row>
    <row r="284" spans="1:46">
      <c r="A284" s="87" t="s">
        <v>99</v>
      </c>
      <c r="B284" s="87" t="s">
        <v>88</v>
      </c>
      <c r="C284" s="87" t="s">
        <v>186</v>
      </c>
      <c r="D284" s="87" t="s">
        <v>114</v>
      </c>
      <c r="E284" s="87" t="s">
        <v>90</v>
      </c>
      <c r="F284" s="87" t="s">
        <v>92</v>
      </c>
      <c r="G284" s="87" t="s">
        <v>184</v>
      </c>
      <c r="H284" s="87" t="s">
        <v>185</v>
      </c>
      <c r="I284" s="87">
        <v>-186713.57</v>
      </c>
      <c r="J284" s="87"/>
      <c r="K284" s="87"/>
      <c r="L284" s="87"/>
      <c r="M284" s="87"/>
      <c r="N284" s="89"/>
      <c r="O284" s="89"/>
      <c r="P284" s="89"/>
      <c r="Q284" s="89"/>
      <c r="R284" s="89">
        <v>-186713.57</v>
      </c>
      <c r="S284" s="143"/>
      <c r="T284" s="143"/>
      <c r="U284" s="143"/>
      <c r="AD284"/>
      <c r="AE284"/>
      <c r="AF284"/>
      <c r="AG284"/>
      <c r="AH284"/>
      <c r="AI284"/>
      <c r="AJ284"/>
      <c r="AK284"/>
      <c r="AL284"/>
      <c r="AM284"/>
      <c r="AN284"/>
      <c r="AO284"/>
      <c r="AP284"/>
      <c r="AQ284"/>
      <c r="AR284"/>
      <c r="AS284"/>
      <c r="AT284"/>
    </row>
    <row r="285" spans="1:46">
      <c r="A285" s="87" t="s">
        <v>99</v>
      </c>
      <c r="B285" s="87" t="s">
        <v>89</v>
      </c>
      <c r="C285" s="87" t="s">
        <v>138</v>
      </c>
      <c r="D285" s="87" t="s">
        <v>106</v>
      </c>
      <c r="E285" s="87" t="s">
        <v>114</v>
      </c>
      <c r="F285" s="87" t="s">
        <v>99</v>
      </c>
      <c r="G285" s="87"/>
      <c r="H285" s="87" t="s">
        <v>140</v>
      </c>
      <c r="I285" s="87">
        <v>480698</v>
      </c>
      <c r="J285" s="87"/>
      <c r="K285" s="87"/>
      <c r="L285" s="87"/>
      <c r="M285" s="87"/>
      <c r="N285" s="89"/>
      <c r="O285" s="89"/>
      <c r="P285" s="89"/>
      <c r="Q285" s="89"/>
      <c r="R285" s="89">
        <v>480698</v>
      </c>
      <c r="S285" s="143"/>
      <c r="T285" s="143"/>
      <c r="U285" s="143"/>
      <c r="AD285"/>
      <c r="AE285"/>
      <c r="AF285"/>
      <c r="AG285"/>
      <c r="AH285"/>
      <c r="AI285"/>
      <c r="AJ285"/>
      <c r="AK285"/>
      <c r="AL285"/>
      <c r="AM285"/>
      <c r="AN285"/>
      <c r="AO285"/>
      <c r="AP285"/>
      <c r="AQ285"/>
      <c r="AR285"/>
      <c r="AS285"/>
      <c r="AT285"/>
    </row>
    <row r="286" spans="1:46">
      <c r="A286" s="87" t="s">
        <v>99</v>
      </c>
      <c r="B286" s="87" t="s">
        <v>89</v>
      </c>
      <c r="C286" s="87" t="s">
        <v>113</v>
      </c>
      <c r="D286" s="87" t="s">
        <v>110</v>
      </c>
      <c r="E286" s="87" t="s">
        <v>114</v>
      </c>
      <c r="F286" s="87" t="s">
        <v>99</v>
      </c>
      <c r="G286" s="87" t="s">
        <v>115</v>
      </c>
      <c r="H286" s="87" t="s">
        <v>116</v>
      </c>
      <c r="I286" s="87">
        <v>643000</v>
      </c>
      <c r="J286" s="87"/>
      <c r="K286" s="87"/>
      <c r="L286" s="87"/>
      <c r="M286" s="87"/>
      <c r="N286" s="89"/>
      <c r="O286" s="89">
        <v>643000</v>
      </c>
      <c r="P286" s="89"/>
      <c r="Q286" s="89"/>
      <c r="R286" s="89"/>
      <c r="S286" s="143"/>
      <c r="T286" s="143"/>
      <c r="U286" s="143"/>
      <c r="AD286"/>
      <c r="AE286"/>
      <c r="AF286"/>
      <c r="AG286"/>
      <c r="AH286"/>
      <c r="AI286"/>
      <c r="AJ286"/>
      <c r="AK286"/>
      <c r="AL286"/>
      <c r="AM286"/>
      <c r="AN286"/>
      <c r="AO286"/>
      <c r="AP286"/>
      <c r="AQ286"/>
      <c r="AR286"/>
      <c r="AS286"/>
      <c r="AT286"/>
    </row>
    <row r="287" spans="1:46">
      <c r="A287" s="87" t="s">
        <v>99</v>
      </c>
      <c r="B287" s="87" t="s">
        <v>89</v>
      </c>
      <c r="C287" s="87" t="s">
        <v>162</v>
      </c>
      <c r="D287" s="87" t="s">
        <v>111</v>
      </c>
      <c r="E287" s="87" t="s">
        <v>114</v>
      </c>
      <c r="F287" s="87" t="s">
        <v>99</v>
      </c>
      <c r="G287" s="87" t="s">
        <v>160</v>
      </c>
      <c r="H287" s="87" t="s">
        <v>163</v>
      </c>
      <c r="I287" s="87">
        <v>151000</v>
      </c>
      <c r="J287" s="87"/>
      <c r="K287" s="87"/>
      <c r="L287" s="87"/>
      <c r="M287" s="87"/>
      <c r="N287" s="89"/>
      <c r="O287" s="89"/>
      <c r="P287" s="89"/>
      <c r="Q287" s="89"/>
      <c r="R287" s="89">
        <v>151000</v>
      </c>
      <c r="S287" s="143"/>
      <c r="T287" s="143"/>
      <c r="U287" s="143"/>
      <c r="AD287"/>
      <c r="AE287"/>
      <c r="AF287"/>
      <c r="AG287"/>
      <c r="AH287"/>
      <c r="AI287"/>
      <c r="AJ287"/>
      <c r="AK287"/>
      <c r="AL287"/>
      <c r="AM287"/>
      <c r="AN287"/>
      <c r="AO287"/>
      <c r="AP287"/>
      <c r="AQ287"/>
      <c r="AR287"/>
      <c r="AS287"/>
      <c r="AT287"/>
    </row>
    <row r="288" spans="1:46">
      <c r="A288" s="87" t="s">
        <v>99</v>
      </c>
      <c r="B288" s="87" t="s">
        <v>105</v>
      </c>
      <c r="C288" s="87" t="s">
        <v>187</v>
      </c>
      <c r="D288" s="87" t="s">
        <v>90</v>
      </c>
      <c r="E288" s="87" t="s">
        <v>114</v>
      </c>
      <c r="F288" s="87" t="s">
        <v>99</v>
      </c>
      <c r="G288" s="87" t="s">
        <v>176</v>
      </c>
      <c r="H288" s="87" t="s">
        <v>188</v>
      </c>
      <c r="I288" s="87">
        <v>1060338</v>
      </c>
      <c r="J288" s="87">
        <v>1060338</v>
      </c>
      <c r="K288" s="87"/>
      <c r="L288" s="87"/>
      <c r="M288" s="87"/>
      <c r="N288" s="89"/>
      <c r="O288" s="89"/>
      <c r="P288" s="89"/>
      <c r="Q288" s="89"/>
      <c r="R288" s="89"/>
      <c r="S288" s="143"/>
      <c r="T288" s="143"/>
      <c r="U288" s="143"/>
      <c r="AD288"/>
      <c r="AE288"/>
      <c r="AF288"/>
      <c r="AG288"/>
      <c r="AH288"/>
      <c r="AI288"/>
      <c r="AJ288"/>
      <c r="AK288"/>
      <c r="AL288"/>
      <c r="AM288"/>
      <c r="AN288"/>
      <c r="AO288"/>
      <c r="AP288"/>
      <c r="AQ288"/>
      <c r="AR288"/>
      <c r="AS288"/>
      <c r="AT288"/>
    </row>
    <row r="289" spans="1:46">
      <c r="A289" s="87" t="s">
        <v>99</v>
      </c>
      <c r="B289" s="87" t="s">
        <v>105</v>
      </c>
      <c r="C289" s="87" t="s">
        <v>194</v>
      </c>
      <c r="D289" s="87" t="s">
        <v>90</v>
      </c>
      <c r="E289" s="87" t="s">
        <v>114</v>
      </c>
      <c r="F289" s="87" t="s">
        <v>99</v>
      </c>
      <c r="G289" s="87" t="s">
        <v>182</v>
      </c>
      <c r="H289" s="87" t="s">
        <v>188</v>
      </c>
      <c r="I289" s="87">
        <v>140510</v>
      </c>
      <c r="J289" s="87">
        <v>140510</v>
      </c>
      <c r="K289" s="87"/>
      <c r="L289" s="87"/>
      <c r="M289" s="87"/>
      <c r="N289" s="89"/>
      <c r="O289" s="89"/>
      <c r="P289" s="89"/>
      <c r="Q289" s="89"/>
      <c r="R289" s="89"/>
      <c r="S289" s="143"/>
      <c r="T289" s="143"/>
      <c r="U289" s="143"/>
      <c r="AD289"/>
      <c r="AE289"/>
      <c r="AF289"/>
      <c r="AG289"/>
      <c r="AH289"/>
      <c r="AI289"/>
      <c r="AJ289"/>
      <c r="AK289"/>
      <c r="AL289"/>
      <c r="AM289"/>
      <c r="AN289"/>
      <c r="AO289"/>
      <c r="AP289"/>
      <c r="AQ289"/>
      <c r="AR289"/>
      <c r="AS289"/>
      <c r="AT289"/>
    </row>
    <row r="290" spans="1:46">
      <c r="A290" s="87" t="s">
        <v>99</v>
      </c>
      <c r="B290" s="87" t="s">
        <v>101</v>
      </c>
      <c r="C290" s="87" t="s">
        <v>187</v>
      </c>
      <c r="D290" s="87" t="s">
        <v>114</v>
      </c>
      <c r="E290" s="87" t="s">
        <v>90</v>
      </c>
      <c r="F290" s="87" t="s">
        <v>99</v>
      </c>
      <c r="G290" s="87" t="s">
        <v>176</v>
      </c>
      <c r="H290" s="87" t="s">
        <v>189</v>
      </c>
      <c r="I290" s="87">
        <v>-1178153</v>
      </c>
      <c r="J290" s="87"/>
      <c r="K290" s="87"/>
      <c r="L290" s="87"/>
      <c r="M290" s="87"/>
      <c r="N290" s="89"/>
      <c r="O290" s="89">
        <v>-1178153</v>
      </c>
      <c r="P290" s="89"/>
      <c r="Q290" s="89"/>
      <c r="R290" s="89"/>
      <c r="S290" s="143"/>
      <c r="T290" s="143"/>
      <c r="U290" s="143"/>
      <c r="AD290"/>
      <c r="AE290"/>
      <c r="AF290"/>
      <c r="AG290"/>
      <c r="AH290"/>
      <c r="AI290"/>
      <c r="AJ290"/>
      <c r="AK290"/>
      <c r="AL290"/>
      <c r="AM290"/>
      <c r="AN290"/>
      <c r="AO290"/>
      <c r="AP290"/>
      <c r="AQ290"/>
      <c r="AR290"/>
      <c r="AS290"/>
      <c r="AT290"/>
    </row>
    <row r="291" spans="1:46">
      <c r="A291" s="16" t="s">
        <v>99</v>
      </c>
      <c r="B291" s="16" t="s">
        <v>101</v>
      </c>
      <c r="C291" s="16" t="s">
        <v>194</v>
      </c>
      <c r="D291" s="16" t="s">
        <v>114</v>
      </c>
      <c r="E291" s="16" t="s">
        <v>90</v>
      </c>
      <c r="F291" s="16" t="s">
        <v>99</v>
      </c>
      <c r="G291" s="16" t="s">
        <v>182</v>
      </c>
      <c r="H291" s="16" t="s">
        <v>189</v>
      </c>
      <c r="I291" s="16">
        <v>-156122</v>
      </c>
      <c r="O291" s="16">
        <v>-156122</v>
      </c>
      <c r="S291" s="143"/>
      <c r="T291" s="143"/>
      <c r="U291" s="143"/>
      <c r="AP291"/>
      <c r="AQ291"/>
      <c r="AR291"/>
      <c r="AS291"/>
      <c r="AT291"/>
    </row>
    <row r="292" spans="1:46">
      <c r="A292" s="16" t="s">
        <v>99</v>
      </c>
      <c r="B292" s="16" t="s">
        <v>101</v>
      </c>
      <c r="C292" s="16" t="s">
        <v>171</v>
      </c>
      <c r="D292" s="16" t="s">
        <v>114</v>
      </c>
      <c r="E292" s="16" t="s">
        <v>90</v>
      </c>
      <c r="F292" s="16" t="s">
        <v>99</v>
      </c>
      <c r="G292" s="16" t="s">
        <v>172</v>
      </c>
      <c r="H292" s="16" t="s">
        <v>170</v>
      </c>
      <c r="I292" s="16">
        <v>-143805</v>
      </c>
      <c r="R292" s="16">
        <v>-143805</v>
      </c>
      <c r="S292" s="143"/>
      <c r="T292" s="143"/>
      <c r="U292" s="143"/>
      <c r="AP292"/>
      <c r="AQ292"/>
      <c r="AR292"/>
      <c r="AS292"/>
      <c r="AT292"/>
    </row>
    <row r="293" spans="1:46">
      <c r="A293" s="90" t="s">
        <v>99</v>
      </c>
      <c r="B293" s="90" t="s">
        <v>101</v>
      </c>
      <c r="C293" s="90" t="s">
        <v>173</v>
      </c>
      <c r="D293" s="90" t="s">
        <v>114</v>
      </c>
      <c r="E293" s="90" t="s">
        <v>90</v>
      </c>
      <c r="F293" s="90" t="s">
        <v>99</v>
      </c>
      <c r="G293" s="90" t="s">
        <v>174</v>
      </c>
      <c r="H293" s="90" t="s">
        <v>170</v>
      </c>
      <c r="I293" s="90">
        <v>-239469</v>
      </c>
      <c r="J293" s="90"/>
      <c r="K293" s="90"/>
      <c r="L293" s="90"/>
      <c r="M293" s="90"/>
      <c r="N293" s="90"/>
      <c r="O293" s="90"/>
      <c r="P293" s="90"/>
      <c r="Q293" s="90"/>
      <c r="R293" s="90">
        <v>-239469</v>
      </c>
      <c r="S293" s="143"/>
      <c r="T293" s="143"/>
      <c r="U293" s="143"/>
      <c r="AP293"/>
      <c r="AQ293"/>
      <c r="AR293"/>
      <c r="AS293"/>
      <c r="AT293"/>
    </row>
    <row r="294" spans="1:46">
      <c r="A294" s="90" t="s">
        <v>92</v>
      </c>
      <c r="B294" s="90" t="s">
        <v>88</v>
      </c>
      <c r="C294" s="90" t="s">
        <v>195</v>
      </c>
      <c r="D294" s="90" t="s">
        <v>114</v>
      </c>
      <c r="E294" s="90" t="s">
        <v>90</v>
      </c>
      <c r="F294" s="90" t="s">
        <v>196</v>
      </c>
      <c r="G294" s="90" t="s">
        <v>197</v>
      </c>
      <c r="H294" s="90" t="s">
        <v>198</v>
      </c>
      <c r="I294" s="90">
        <v>-315000</v>
      </c>
      <c r="J294" s="90"/>
      <c r="K294" s="90"/>
      <c r="L294" s="90"/>
      <c r="M294" s="90"/>
      <c r="N294" s="90">
        <v>-315000</v>
      </c>
      <c r="O294" s="90"/>
      <c r="P294" s="90"/>
      <c r="Q294" s="90"/>
      <c r="R294" s="90"/>
      <c r="S294" s="143"/>
      <c r="T294" s="143"/>
      <c r="U294" s="143"/>
      <c r="AP294"/>
      <c r="AQ294"/>
      <c r="AR294"/>
      <c r="AS294"/>
      <c r="AT294"/>
    </row>
    <row r="295" spans="1:46">
      <c r="A295" s="91" t="s">
        <v>92</v>
      </c>
      <c r="B295" s="91" t="s">
        <v>88</v>
      </c>
      <c r="C295" s="91" t="s">
        <v>207</v>
      </c>
      <c r="D295" s="91" t="s">
        <v>114</v>
      </c>
      <c r="E295" s="91" t="s">
        <v>90</v>
      </c>
      <c r="F295" s="91" t="s">
        <v>191</v>
      </c>
      <c r="G295" s="91" t="s">
        <v>208</v>
      </c>
      <c r="H295" s="91" t="s">
        <v>185</v>
      </c>
      <c r="I295" s="91">
        <v>-95396.99</v>
      </c>
      <c r="J295" s="91"/>
      <c r="K295" s="91"/>
      <c r="L295" s="91"/>
      <c r="M295" s="91"/>
      <c r="N295" s="91">
        <v>-95396.99</v>
      </c>
      <c r="O295" s="91"/>
      <c r="P295" s="91"/>
      <c r="Q295" s="91"/>
      <c r="R295" s="91"/>
      <c r="S295" s="143"/>
      <c r="T295" s="143"/>
      <c r="U295" s="143"/>
      <c r="AP295"/>
      <c r="AQ295"/>
      <c r="AR295"/>
      <c r="AS295"/>
      <c r="AT295"/>
    </row>
    <row r="296" spans="1:46">
      <c r="A296" s="91" t="s">
        <v>92</v>
      </c>
      <c r="B296" s="91" t="s">
        <v>88</v>
      </c>
      <c r="C296" s="91" t="s">
        <v>190</v>
      </c>
      <c r="D296" s="91" t="s">
        <v>114</v>
      </c>
      <c r="E296" s="91" t="s">
        <v>93</v>
      </c>
      <c r="F296" s="91" t="s">
        <v>191</v>
      </c>
      <c r="G296" s="91" t="s">
        <v>192</v>
      </c>
      <c r="H296" s="91" t="s">
        <v>193</v>
      </c>
      <c r="I296" s="91">
        <v>-375000</v>
      </c>
      <c r="J296" s="91"/>
      <c r="K296" s="91"/>
      <c r="L296" s="91"/>
      <c r="M296" s="91"/>
      <c r="N296" s="91">
        <v>-375000</v>
      </c>
      <c r="O296" s="91"/>
      <c r="P296" s="91"/>
      <c r="Q296" s="91"/>
      <c r="R296" s="91"/>
      <c r="S296" s="143"/>
      <c r="T296" s="143"/>
      <c r="U296" s="143"/>
      <c r="AP296"/>
      <c r="AQ296"/>
      <c r="AR296"/>
      <c r="AS296"/>
      <c r="AT296"/>
    </row>
    <row r="297" spans="1:46">
      <c r="A297" s="91" t="s">
        <v>92</v>
      </c>
      <c r="B297" s="91" t="s">
        <v>89</v>
      </c>
      <c r="C297" s="91" t="s">
        <v>138</v>
      </c>
      <c r="D297" s="91" t="s">
        <v>106</v>
      </c>
      <c r="E297" s="91" t="s">
        <v>114</v>
      </c>
      <c r="F297" s="91" t="s">
        <v>92</v>
      </c>
      <c r="G297" s="91"/>
      <c r="H297" s="91" t="s">
        <v>140</v>
      </c>
      <c r="I297" s="91">
        <v>571500</v>
      </c>
      <c r="J297" s="91"/>
      <c r="K297" s="91"/>
      <c r="L297" s="91"/>
      <c r="M297" s="91"/>
      <c r="N297" s="91"/>
      <c r="O297" s="91">
        <v>571500</v>
      </c>
      <c r="P297" s="91"/>
      <c r="Q297" s="91"/>
      <c r="R297" s="91"/>
      <c r="S297" s="143"/>
      <c r="T297" s="143"/>
      <c r="U297" s="143"/>
      <c r="AP297"/>
      <c r="AQ297"/>
      <c r="AR297"/>
      <c r="AS297"/>
      <c r="AT297"/>
    </row>
    <row r="298" spans="1:46">
      <c r="A298" s="91" t="s">
        <v>92</v>
      </c>
      <c r="B298" s="91" t="s">
        <v>89</v>
      </c>
      <c r="C298" s="91" t="s">
        <v>147</v>
      </c>
      <c r="D298" s="91" t="s">
        <v>148</v>
      </c>
      <c r="E298" s="91" t="s">
        <v>114</v>
      </c>
      <c r="F298" s="91" t="s">
        <v>92</v>
      </c>
      <c r="G298" s="91"/>
      <c r="H298" s="91" t="s">
        <v>175</v>
      </c>
      <c r="I298" s="91">
        <v>185000</v>
      </c>
      <c r="J298" s="91"/>
      <c r="K298" s="91"/>
      <c r="L298" s="91"/>
      <c r="M298" s="91"/>
      <c r="N298" s="91"/>
      <c r="O298" s="91">
        <v>185000</v>
      </c>
      <c r="P298" s="91"/>
      <c r="Q298" s="91"/>
      <c r="R298" s="91"/>
      <c r="S298" s="143"/>
      <c r="T298" s="143"/>
      <c r="U298" s="143"/>
      <c r="AP298"/>
      <c r="AQ298"/>
      <c r="AR298"/>
      <c r="AS298"/>
      <c r="AT298"/>
    </row>
    <row r="299" spans="1:46">
      <c r="A299" s="92" t="s">
        <v>92</v>
      </c>
      <c r="B299" s="92" t="s">
        <v>89</v>
      </c>
      <c r="C299" s="92" t="s">
        <v>183</v>
      </c>
      <c r="D299" s="92" t="s">
        <v>90</v>
      </c>
      <c r="E299" s="92" t="s">
        <v>114</v>
      </c>
      <c r="F299" s="92" t="s">
        <v>92</v>
      </c>
      <c r="G299" s="92" t="s">
        <v>184</v>
      </c>
      <c r="H299" s="92" t="s">
        <v>185</v>
      </c>
      <c r="I299" s="92">
        <v>1037355</v>
      </c>
      <c r="J299" s="92"/>
      <c r="K299" s="92"/>
      <c r="L299" s="92"/>
      <c r="M299" s="92"/>
      <c r="N299" s="92">
        <v>1037355</v>
      </c>
      <c r="O299" s="92"/>
      <c r="P299" s="92"/>
      <c r="Q299" s="92"/>
      <c r="R299" s="92"/>
      <c r="S299" s="143"/>
      <c r="T299" s="143"/>
      <c r="U299" s="143"/>
      <c r="AP299"/>
      <c r="AQ299"/>
      <c r="AR299"/>
      <c r="AS299"/>
      <c r="AT299"/>
    </row>
    <row r="300" spans="1:46">
      <c r="A300" s="92" t="s">
        <v>92</v>
      </c>
      <c r="B300" s="92" t="s">
        <v>89</v>
      </c>
      <c r="C300" s="92" t="s">
        <v>186</v>
      </c>
      <c r="D300" s="92" t="s">
        <v>90</v>
      </c>
      <c r="E300" s="92" t="s">
        <v>114</v>
      </c>
      <c r="F300" s="92" t="s">
        <v>92</v>
      </c>
      <c r="G300" s="92" t="s">
        <v>184</v>
      </c>
      <c r="H300" s="92" t="s">
        <v>185</v>
      </c>
      <c r="I300" s="92">
        <v>186713.57</v>
      </c>
      <c r="J300" s="92"/>
      <c r="K300" s="92"/>
      <c r="L300" s="92"/>
      <c r="M300" s="92"/>
      <c r="N300" s="92">
        <v>186713.57</v>
      </c>
      <c r="O300" s="92"/>
      <c r="P300" s="92"/>
      <c r="Q300" s="92"/>
      <c r="R300" s="92"/>
      <c r="S300" s="143"/>
      <c r="T300" s="143"/>
      <c r="U300" s="143"/>
      <c r="AP300"/>
      <c r="AQ300"/>
      <c r="AR300"/>
      <c r="AS300"/>
      <c r="AT300"/>
    </row>
    <row r="301" spans="1:46">
      <c r="A301" s="93" t="s">
        <v>92</v>
      </c>
      <c r="B301" s="93" t="s">
        <v>89</v>
      </c>
      <c r="C301" s="93" t="s">
        <v>159</v>
      </c>
      <c r="D301" s="93" t="s">
        <v>142</v>
      </c>
      <c r="E301" s="93" t="s">
        <v>114</v>
      </c>
      <c r="F301" s="93" t="s">
        <v>92</v>
      </c>
      <c r="G301" s="93" t="s">
        <v>160</v>
      </c>
      <c r="H301" s="93" t="s">
        <v>161</v>
      </c>
      <c r="I301" s="93">
        <v>650000</v>
      </c>
      <c r="J301" s="93"/>
      <c r="K301" s="93"/>
      <c r="L301" s="93"/>
      <c r="M301" s="93"/>
      <c r="N301" s="93">
        <v>650000</v>
      </c>
      <c r="O301" s="93"/>
      <c r="P301" s="93"/>
      <c r="Q301" s="93"/>
      <c r="R301" s="93"/>
      <c r="S301" s="143"/>
      <c r="T301" s="143"/>
      <c r="U301" s="143"/>
      <c r="AP301"/>
      <c r="AQ301"/>
      <c r="AR301"/>
      <c r="AS301"/>
      <c r="AT301"/>
    </row>
    <row r="302" spans="1:46">
      <c r="A302" s="93" t="s">
        <v>92</v>
      </c>
      <c r="B302" s="93" t="s">
        <v>105</v>
      </c>
      <c r="C302" s="93" t="s">
        <v>204</v>
      </c>
      <c r="D302" s="93" t="s">
        <v>90</v>
      </c>
      <c r="E302" s="93" t="s">
        <v>114</v>
      </c>
      <c r="F302" s="93" t="s">
        <v>92</v>
      </c>
      <c r="G302" s="93" t="s">
        <v>201</v>
      </c>
      <c r="H302" s="93" t="s">
        <v>188</v>
      </c>
      <c r="I302" s="93">
        <v>464000</v>
      </c>
      <c r="J302" s="93">
        <v>464000</v>
      </c>
      <c r="K302" s="93"/>
      <c r="L302" s="93"/>
      <c r="M302" s="93"/>
      <c r="N302" s="93"/>
      <c r="O302" s="93"/>
      <c r="P302" s="93"/>
      <c r="Q302" s="93"/>
      <c r="R302" s="93"/>
      <c r="S302" s="143"/>
      <c r="T302" s="143"/>
      <c r="U302" s="143"/>
      <c r="AP302"/>
      <c r="AQ302"/>
      <c r="AR302"/>
      <c r="AS302"/>
      <c r="AT302"/>
    </row>
    <row r="303" spans="1:46">
      <c r="A303" s="16" t="s">
        <v>92</v>
      </c>
      <c r="B303" s="16" t="s">
        <v>105</v>
      </c>
      <c r="C303" s="16" t="s">
        <v>206</v>
      </c>
      <c r="D303" s="16" t="s">
        <v>90</v>
      </c>
      <c r="E303" s="16" t="s">
        <v>114</v>
      </c>
      <c r="F303" s="16" t="s">
        <v>92</v>
      </c>
      <c r="G303" s="16" t="s">
        <v>202</v>
      </c>
      <c r="H303" s="16" t="s">
        <v>188</v>
      </c>
      <c r="I303" s="16">
        <v>856600</v>
      </c>
      <c r="J303" s="16">
        <v>856600</v>
      </c>
      <c r="S303" s="143"/>
      <c r="T303" s="143"/>
      <c r="U303" s="143"/>
      <c r="AP303"/>
      <c r="AQ303"/>
      <c r="AR303"/>
      <c r="AS303"/>
      <c r="AT303"/>
    </row>
    <row r="304" spans="1:46">
      <c r="A304" s="16" t="s">
        <v>92</v>
      </c>
      <c r="B304" s="16" t="s">
        <v>105</v>
      </c>
      <c r="C304" s="16" t="s">
        <v>206</v>
      </c>
      <c r="D304" s="16" t="s">
        <v>90</v>
      </c>
      <c r="E304" s="16" t="s">
        <v>114</v>
      </c>
      <c r="F304" s="16" t="s">
        <v>92</v>
      </c>
      <c r="G304" s="16" t="s">
        <v>205</v>
      </c>
      <c r="H304" s="16" t="s">
        <v>188</v>
      </c>
      <c r="I304" s="16">
        <v>701363</v>
      </c>
      <c r="J304" s="16">
        <v>701363</v>
      </c>
      <c r="S304" s="143"/>
      <c r="T304" s="143"/>
      <c r="U304" s="143"/>
      <c r="AP304"/>
      <c r="AQ304"/>
      <c r="AR304"/>
      <c r="AS304"/>
      <c r="AT304"/>
    </row>
    <row r="305" spans="1:46">
      <c r="A305" s="16" t="s">
        <v>92</v>
      </c>
      <c r="B305" s="16" t="s">
        <v>105</v>
      </c>
      <c r="C305" s="16" t="s">
        <v>209</v>
      </c>
      <c r="D305" s="16" t="s">
        <v>90</v>
      </c>
      <c r="E305" s="16" t="s">
        <v>114</v>
      </c>
      <c r="F305" s="16" t="s">
        <v>92</v>
      </c>
      <c r="G305" s="16" t="s">
        <v>202</v>
      </c>
      <c r="H305" s="16" t="s">
        <v>188</v>
      </c>
      <c r="I305" s="16">
        <v>195221</v>
      </c>
      <c r="J305" s="16">
        <v>195221</v>
      </c>
      <c r="S305" s="143"/>
      <c r="T305" s="143"/>
      <c r="U305" s="143"/>
      <c r="AP305"/>
      <c r="AQ305"/>
      <c r="AR305"/>
      <c r="AS305"/>
      <c r="AT305"/>
    </row>
    <row r="306" spans="1:46">
      <c r="A306" s="16" t="s">
        <v>92</v>
      </c>
      <c r="B306" s="16" t="s">
        <v>105</v>
      </c>
      <c r="C306" s="16" t="s">
        <v>210</v>
      </c>
      <c r="D306" s="16" t="s">
        <v>90</v>
      </c>
      <c r="E306" s="16" t="s">
        <v>114</v>
      </c>
      <c r="F306" s="16" t="s">
        <v>92</v>
      </c>
      <c r="G306" s="16" t="s">
        <v>203</v>
      </c>
      <c r="H306" s="16" t="s">
        <v>188</v>
      </c>
      <c r="I306" s="16">
        <v>482845</v>
      </c>
      <c r="J306" s="16">
        <v>482845</v>
      </c>
      <c r="S306" s="143"/>
      <c r="T306" s="143"/>
      <c r="U306" s="143"/>
      <c r="AP306"/>
      <c r="AQ306"/>
      <c r="AR306"/>
      <c r="AS306"/>
      <c r="AT306"/>
    </row>
    <row r="307" spans="1:46">
      <c r="A307" s="16" t="s">
        <v>92</v>
      </c>
      <c r="B307" s="16" t="s">
        <v>101</v>
      </c>
      <c r="C307" s="16" t="s">
        <v>204</v>
      </c>
      <c r="D307" s="16" t="s">
        <v>114</v>
      </c>
      <c r="E307" s="16" t="s">
        <v>90</v>
      </c>
      <c r="F307" s="16" t="s">
        <v>92</v>
      </c>
      <c r="G307" s="16" t="s">
        <v>201</v>
      </c>
      <c r="H307" s="16" t="s">
        <v>189</v>
      </c>
      <c r="I307" s="16">
        <v>-515556</v>
      </c>
      <c r="N307" s="16">
        <v>-515556</v>
      </c>
      <c r="S307" s="143"/>
      <c r="T307" s="143"/>
      <c r="U307" s="143"/>
      <c r="AP307"/>
      <c r="AQ307"/>
      <c r="AR307"/>
      <c r="AS307"/>
      <c r="AT307"/>
    </row>
    <row r="308" spans="1:46">
      <c r="A308" s="16" t="s">
        <v>92</v>
      </c>
      <c r="B308" s="16" t="s">
        <v>101</v>
      </c>
      <c r="C308" s="16" t="s">
        <v>206</v>
      </c>
      <c r="D308" s="16" t="s">
        <v>114</v>
      </c>
      <c r="E308" s="16" t="s">
        <v>90</v>
      </c>
      <c r="F308" s="16" t="s">
        <v>92</v>
      </c>
      <c r="G308" s="16" t="s">
        <v>202</v>
      </c>
      <c r="H308" s="16" t="s">
        <v>188</v>
      </c>
      <c r="I308" s="16">
        <v>-951778</v>
      </c>
      <c r="O308" s="16">
        <v>-951778</v>
      </c>
      <c r="S308" s="143"/>
      <c r="T308" s="143"/>
      <c r="U308" s="143"/>
      <c r="AP308"/>
      <c r="AQ308"/>
      <c r="AR308"/>
      <c r="AS308"/>
      <c r="AT308"/>
    </row>
    <row r="309" spans="1:46">
      <c r="A309" s="16" t="s">
        <v>92</v>
      </c>
      <c r="B309" s="16" t="s">
        <v>101</v>
      </c>
      <c r="C309" s="16" t="s">
        <v>206</v>
      </c>
      <c r="D309" s="16" t="s">
        <v>114</v>
      </c>
      <c r="E309" s="16" t="s">
        <v>90</v>
      </c>
      <c r="F309" s="16" t="s">
        <v>92</v>
      </c>
      <c r="G309" s="16" t="s">
        <v>205</v>
      </c>
      <c r="H309" s="16" t="s">
        <v>189</v>
      </c>
      <c r="I309" s="16">
        <v>-779292</v>
      </c>
      <c r="O309" s="16">
        <v>-779292</v>
      </c>
      <c r="S309" s="143"/>
      <c r="T309" s="143"/>
      <c r="U309" s="143"/>
      <c r="AP309"/>
      <c r="AQ309"/>
      <c r="AR309"/>
      <c r="AS309"/>
      <c r="AT309"/>
    </row>
    <row r="310" spans="1:46">
      <c r="A310" s="16" t="s">
        <v>92</v>
      </c>
      <c r="B310" s="16" t="s">
        <v>101</v>
      </c>
      <c r="C310" s="16" t="s">
        <v>209</v>
      </c>
      <c r="D310" s="16" t="s">
        <v>114</v>
      </c>
      <c r="E310" s="16" t="s">
        <v>90</v>
      </c>
      <c r="F310" s="16" t="s">
        <v>92</v>
      </c>
      <c r="G310" s="16" t="s">
        <v>202</v>
      </c>
      <c r="H310" s="16" t="s">
        <v>188</v>
      </c>
      <c r="I310" s="16">
        <v>-216913</v>
      </c>
      <c r="O310" s="16">
        <v>-216913</v>
      </c>
      <c r="S310" s="143"/>
      <c r="T310" s="143"/>
      <c r="U310" s="143"/>
      <c r="AP310"/>
      <c r="AQ310"/>
      <c r="AR310"/>
      <c r="AS310"/>
      <c r="AT310"/>
    </row>
    <row r="311" spans="1:46">
      <c r="A311" s="16" t="s">
        <v>92</v>
      </c>
      <c r="B311" s="16" t="s">
        <v>101</v>
      </c>
      <c r="C311" s="16" t="s">
        <v>210</v>
      </c>
      <c r="D311" s="16" t="s">
        <v>114</v>
      </c>
      <c r="E311" s="16" t="s">
        <v>90</v>
      </c>
      <c r="F311" s="16" t="s">
        <v>92</v>
      </c>
      <c r="G311" s="16" t="s">
        <v>203</v>
      </c>
      <c r="H311" s="16" t="s">
        <v>188</v>
      </c>
      <c r="I311" s="16">
        <v>-536495</v>
      </c>
      <c r="O311" s="16">
        <v>-536495</v>
      </c>
      <c r="S311" s="143"/>
      <c r="T311" s="143"/>
      <c r="U311" s="143"/>
      <c r="AP311"/>
      <c r="AQ311"/>
      <c r="AR311"/>
      <c r="AS311"/>
      <c r="AT311"/>
    </row>
    <row r="312" spans="1:46">
      <c r="A312" s="16" t="s">
        <v>191</v>
      </c>
      <c r="B312" s="16" t="s">
        <v>88</v>
      </c>
      <c r="C312" s="16" t="s">
        <v>214</v>
      </c>
      <c r="D312" s="16" t="s">
        <v>114</v>
      </c>
      <c r="E312" s="16" t="s">
        <v>90</v>
      </c>
      <c r="F312" s="16" t="s">
        <v>215</v>
      </c>
      <c r="G312" s="16" t="s">
        <v>216</v>
      </c>
      <c r="H312" s="16" t="s">
        <v>185</v>
      </c>
      <c r="I312" s="16">
        <v>-452961</v>
      </c>
      <c r="N312" s="16">
        <v>-452961</v>
      </c>
      <c r="S312" s="143"/>
      <c r="T312" s="143"/>
      <c r="U312" s="143"/>
      <c r="AP312"/>
      <c r="AQ312"/>
      <c r="AR312"/>
      <c r="AS312"/>
      <c r="AT312"/>
    </row>
    <row r="313" spans="1:46">
      <c r="A313" s="16" t="s">
        <v>191</v>
      </c>
      <c r="B313" s="16" t="s">
        <v>88</v>
      </c>
      <c r="C313" s="16" t="s">
        <v>217</v>
      </c>
      <c r="D313" s="16" t="s">
        <v>114</v>
      </c>
      <c r="E313" s="16" t="s">
        <v>90</v>
      </c>
      <c r="F313" s="16" t="s">
        <v>215</v>
      </c>
      <c r="G313" s="16" t="s">
        <v>218</v>
      </c>
      <c r="H313" s="16" t="s">
        <v>185</v>
      </c>
      <c r="I313" s="16">
        <v>-27347.66</v>
      </c>
      <c r="R313" s="16">
        <v>-27347.66</v>
      </c>
      <c r="S313" s="143"/>
      <c r="T313" s="143"/>
      <c r="U313" s="143"/>
      <c r="AP313"/>
      <c r="AQ313"/>
      <c r="AR313"/>
      <c r="AS313"/>
      <c r="AT313"/>
    </row>
    <row r="314" spans="1:46">
      <c r="A314" s="16" t="s">
        <v>191</v>
      </c>
      <c r="B314" s="16" t="s">
        <v>88</v>
      </c>
      <c r="C314" s="16" t="s">
        <v>219</v>
      </c>
      <c r="D314" s="16" t="s">
        <v>114</v>
      </c>
      <c r="E314" s="16" t="s">
        <v>90</v>
      </c>
      <c r="F314" s="16" t="s">
        <v>215</v>
      </c>
      <c r="G314" s="16" t="s">
        <v>218</v>
      </c>
      <c r="H314" s="16" t="s">
        <v>185</v>
      </c>
      <c r="I314" s="16">
        <v>-13608.69</v>
      </c>
      <c r="R314" s="16">
        <v>-13608.69</v>
      </c>
      <c r="S314" s="143"/>
      <c r="T314" s="143"/>
      <c r="U314" s="143"/>
      <c r="AP314"/>
      <c r="AQ314"/>
      <c r="AR314"/>
      <c r="AS314"/>
      <c r="AT314"/>
    </row>
    <row r="315" spans="1:46">
      <c r="A315" s="95" t="s">
        <v>191</v>
      </c>
      <c r="B315" s="95" t="s">
        <v>89</v>
      </c>
      <c r="C315" s="95" t="s">
        <v>207</v>
      </c>
      <c r="D315" s="95" t="s">
        <v>90</v>
      </c>
      <c r="E315" s="95" t="s">
        <v>114</v>
      </c>
      <c r="F315" s="95" t="s">
        <v>191</v>
      </c>
      <c r="G315" s="95" t="s">
        <v>208</v>
      </c>
      <c r="H315" s="95" t="s">
        <v>185</v>
      </c>
      <c r="I315" s="95">
        <v>95396.99</v>
      </c>
      <c r="J315" s="95"/>
      <c r="K315" s="95"/>
      <c r="L315" s="95"/>
      <c r="M315" s="95"/>
      <c r="N315" s="95">
        <v>95396.99</v>
      </c>
      <c r="O315" s="95"/>
      <c r="P315" s="95"/>
      <c r="Q315" s="95"/>
      <c r="R315" s="95"/>
      <c r="S315" s="143"/>
      <c r="T315" s="143"/>
      <c r="U315" s="143"/>
      <c r="AP315"/>
      <c r="AQ315"/>
      <c r="AR315"/>
      <c r="AS315"/>
      <c r="AT315"/>
    </row>
    <row r="316" spans="1:46">
      <c r="A316" s="95" t="s">
        <v>191</v>
      </c>
      <c r="B316" s="95" t="s">
        <v>89</v>
      </c>
      <c r="C316" s="95" t="s">
        <v>190</v>
      </c>
      <c r="D316" s="95" t="s">
        <v>93</v>
      </c>
      <c r="E316" s="95" t="s">
        <v>114</v>
      </c>
      <c r="F316" s="95" t="s">
        <v>191</v>
      </c>
      <c r="G316" s="95" t="s">
        <v>192</v>
      </c>
      <c r="H316" s="95" t="s">
        <v>193</v>
      </c>
      <c r="I316" s="95">
        <v>375000</v>
      </c>
      <c r="J316" s="95"/>
      <c r="K316" s="95"/>
      <c r="L316" s="95"/>
      <c r="M316" s="95"/>
      <c r="N316" s="95">
        <v>375000</v>
      </c>
      <c r="O316" s="95"/>
      <c r="P316" s="95"/>
      <c r="Q316" s="95"/>
      <c r="R316" s="95"/>
      <c r="S316" s="143"/>
      <c r="T316" s="143"/>
      <c r="U316" s="143"/>
      <c r="AP316"/>
      <c r="AQ316"/>
      <c r="AR316"/>
      <c r="AS316"/>
      <c r="AT316"/>
    </row>
    <row r="317" spans="1:46">
      <c r="A317" s="95" t="s">
        <v>191</v>
      </c>
      <c r="B317" s="95" t="s">
        <v>105</v>
      </c>
      <c r="C317" s="95" t="s">
        <v>220</v>
      </c>
      <c r="D317" s="95" t="s">
        <v>90</v>
      </c>
      <c r="E317" s="95" t="s">
        <v>114</v>
      </c>
      <c r="F317" s="95" t="s">
        <v>191</v>
      </c>
      <c r="G317" s="95" t="s">
        <v>212</v>
      </c>
      <c r="H317" s="95" t="s">
        <v>188</v>
      </c>
      <c r="I317" s="95">
        <v>274496</v>
      </c>
      <c r="J317" s="95">
        <v>274496</v>
      </c>
      <c r="K317" s="95"/>
      <c r="L317" s="95"/>
      <c r="M317" s="95"/>
      <c r="N317" s="95"/>
      <c r="O317" s="95"/>
      <c r="P317" s="95"/>
      <c r="Q317" s="95"/>
      <c r="R317" s="95"/>
      <c r="S317" s="143"/>
      <c r="T317" s="143"/>
      <c r="U317" s="143"/>
      <c r="AP317"/>
      <c r="AQ317"/>
      <c r="AR317"/>
      <c r="AS317"/>
      <c r="AT317"/>
    </row>
    <row r="318" spans="1:46">
      <c r="A318" s="95" t="s">
        <v>191</v>
      </c>
      <c r="B318" s="95" t="s">
        <v>105</v>
      </c>
      <c r="C318" s="95" t="s">
        <v>221</v>
      </c>
      <c r="D318" s="95" t="s">
        <v>90</v>
      </c>
      <c r="E318" s="95" t="s">
        <v>114</v>
      </c>
      <c r="F318" s="95" t="s">
        <v>191</v>
      </c>
      <c r="G318" s="95" t="s">
        <v>222</v>
      </c>
      <c r="H318" s="95" t="s">
        <v>188</v>
      </c>
      <c r="I318" s="95">
        <v>200000</v>
      </c>
      <c r="J318" s="95">
        <v>200000</v>
      </c>
      <c r="K318" s="95"/>
      <c r="L318" s="95"/>
      <c r="M318" s="95"/>
      <c r="N318" s="95"/>
      <c r="O318" s="95"/>
      <c r="P318" s="95"/>
      <c r="Q318" s="95"/>
      <c r="R318" s="95"/>
      <c r="S318" s="143"/>
      <c r="T318" s="143"/>
      <c r="U318" s="143"/>
      <c r="AP318"/>
      <c r="AQ318"/>
      <c r="AR318"/>
      <c r="AS318"/>
      <c r="AT318"/>
    </row>
    <row r="319" spans="1:46">
      <c r="A319" s="95" t="s">
        <v>191</v>
      </c>
      <c r="B319" s="95" t="s">
        <v>105</v>
      </c>
      <c r="C319" s="95" t="s">
        <v>223</v>
      </c>
      <c r="D319" s="95" t="s">
        <v>90</v>
      </c>
      <c r="E319" s="95" t="s">
        <v>114</v>
      </c>
      <c r="F319" s="95" t="s">
        <v>191</v>
      </c>
      <c r="G319" s="95" t="s">
        <v>213</v>
      </c>
      <c r="H319" s="95" t="s">
        <v>188</v>
      </c>
      <c r="I319" s="95">
        <v>562041</v>
      </c>
      <c r="J319" s="95">
        <v>562041</v>
      </c>
      <c r="K319" s="95"/>
      <c r="L319" s="95"/>
      <c r="M319" s="95"/>
      <c r="N319" s="95"/>
      <c r="O319" s="95"/>
      <c r="P319" s="95"/>
      <c r="Q319" s="95"/>
      <c r="R319" s="95"/>
      <c r="S319" s="143"/>
      <c r="T319" s="143"/>
      <c r="U319" s="143"/>
      <c r="AP319"/>
      <c r="AQ319"/>
      <c r="AR319"/>
      <c r="AS319"/>
      <c r="AT319"/>
    </row>
    <row r="320" spans="1:46">
      <c r="A320" s="95" t="s">
        <v>191</v>
      </c>
      <c r="B320" s="95" t="s">
        <v>101</v>
      </c>
      <c r="C320" s="95" t="s">
        <v>220</v>
      </c>
      <c r="D320" s="95" t="s">
        <v>114</v>
      </c>
      <c r="E320" s="95" t="s">
        <v>90</v>
      </c>
      <c r="F320" s="95" t="s">
        <v>191</v>
      </c>
      <c r="G320" s="95" t="s">
        <v>212</v>
      </c>
      <c r="H320" s="95" t="s">
        <v>188</v>
      </c>
      <c r="I320" s="95">
        <v>-304996</v>
      </c>
      <c r="J320" s="95"/>
      <c r="K320" s="95"/>
      <c r="L320" s="95"/>
      <c r="M320" s="95"/>
      <c r="N320" s="95">
        <v>-304996</v>
      </c>
      <c r="O320" s="95"/>
      <c r="P320" s="95"/>
      <c r="Q320" s="95"/>
      <c r="R320" s="95"/>
      <c r="S320" s="143"/>
      <c r="T320" s="143"/>
      <c r="U320" s="143"/>
      <c r="AP320"/>
      <c r="AQ320"/>
      <c r="AR320"/>
      <c r="AS320"/>
      <c r="AT320"/>
    </row>
    <row r="321" spans="1:46">
      <c r="A321" s="95" t="s">
        <v>191</v>
      </c>
      <c r="B321" s="95" t="s">
        <v>101</v>
      </c>
      <c r="C321" s="95" t="s">
        <v>221</v>
      </c>
      <c r="D321" s="95" t="s">
        <v>114</v>
      </c>
      <c r="E321" s="95" t="s">
        <v>90</v>
      </c>
      <c r="F321" s="95" t="s">
        <v>191</v>
      </c>
      <c r="G321" s="95" t="s">
        <v>222</v>
      </c>
      <c r="H321" s="95" t="s">
        <v>188</v>
      </c>
      <c r="I321" s="95">
        <v>-222222</v>
      </c>
      <c r="J321" s="95"/>
      <c r="K321" s="95"/>
      <c r="L321" s="95"/>
      <c r="M321" s="95"/>
      <c r="N321" s="95">
        <v>-222222</v>
      </c>
      <c r="O321" s="95"/>
      <c r="P321" s="95"/>
      <c r="Q321" s="95"/>
      <c r="R321" s="95"/>
      <c r="S321" s="143"/>
      <c r="T321" s="143"/>
      <c r="U321" s="143"/>
      <c r="AP321"/>
      <c r="AQ321"/>
      <c r="AR321"/>
      <c r="AS321"/>
      <c r="AT321"/>
    </row>
    <row r="322" spans="1:46">
      <c r="A322" s="95" t="s">
        <v>191</v>
      </c>
      <c r="B322" s="95" t="s">
        <v>101</v>
      </c>
      <c r="C322" s="95" t="s">
        <v>223</v>
      </c>
      <c r="D322" s="95" t="s">
        <v>114</v>
      </c>
      <c r="E322" s="95" t="s">
        <v>90</v>
      </c>
      <c r="F322" s="95" t="s">
        <v>191</v>
      </c>
      <c r="G322" s="95" t="s">
        <v>213</v>
      </c>
      <c r="H322" s="95" t="s">
        <v>188</v>
      </c>
      <c r="I322" s="95">
        <v>-624490</v>
      </c>
      <c r="J322" s="95"/>
      <c r="K322" s="95"/>
      <c r="L322" s="95"/>
      <c r="M322" s="95"/>
      <c r="N322" s="95">
        <v>-624490</v>
      </c>
      <c r="O322" s="95"/>
      <c r="P322" s="95"/>
      <c r="Q322" s="95"/>
      <c r="R322" s="95"/>
      <c r="S322" s="143"/>
      <c r="T322" s="143"/>
      <c r="U322" s="143"/>
      <c r="AP322"/>
      <c r="AQ322"/>
      <c r="AR322"/>
      <c r="AS322"/>
      <c r="AT322"/>
    </row>
    <row r="323" spans="1:46">
      <c r="A323" s="95" t="s">
        <v>191</v>
      </c>
      <c r="B323" s="95" t="s">
        <v>101</v>
      </c>
      <c r="C323" s="95" t="s">
        <v>224</v>
      </c>
      <c r="D323" s="95" t="s">
        <v>114</v>
      </c>
      <c r="E323" s="95" t="s">
        <v>90</v>
      </c>
      <c r="F323" s="95" t="s">
        <v>191</v>
      </c>
      <c r="G323" s="95" t="s">
        <v>225</v>
      </c>
      <c r="H323" s="95" t="s">
        <v>226</v>
      </c>
      <c r="I323" s="95">
        <v>-25565.59</v>
      </c>
      <c r="J323" s="95"/>
      <c r="K323" s="95">
        <v>-25565.59</v>
      </c>
      <c r="L323" s="95"/>
      <c r="M323" s="95"/>
      <c r="N323" s="95"/>
      <c r="O323" s="95"/>
      <c r="P323" s="95"/>
      <c r="Q323" s="95"/>
      <c r="R323" s="95"/>
      <c r="S323" s="143"/>
      <c r="T323" s="143"/>
      <c r="U323" s="143"/>
      <c r="AP323"/>
      <c r="AQ323"/>
      <c r="AR323"/>
      <c r="AS323"/>
      <c r="AT323"/>
    </row>
    <row r="324" spans="1:46">
      <c r="A324" s="95" t="s">
        <v>191</v>
      </c>
      <c r="B324" s="95" t="s">
        <v>101</v>
      </c>
      <c r="C324" s="95" t="s">
        <v>227</v>
      </c>
      <c r="D324" s="95" t="s">
        <v>114</v>
      </c>
      <c r="E324" s="95" t="s">
        <v>90</v>
      </c>
      <c r="F324" s="95" t="s">
        <v>191</v>
      </c>
      <c r="G324" s="95" t="s">
        <v>228</v>
      </c>
      <c r="H324" s="95" t="s">
        <v>226</v>
      </c>
      <c r="I324" s="95">
        <v>-12580</v>
      </c>
      <c r="J324" s="95"/>
      <c r="K324" s="95">
        <v>-12580</v>
      </c>
      <c r="L324" s="95"/>
      <c r="M324" s="95"/>
      <c r="N324" s="95"/>
      <c r="O324" s="95"/>
      <c r="P324" s="95"/>
      <c r="Q324" s="95"/>
      <c r="R324" s="95"/>
      <c r="S324" s="143"/>
      <c r="T324" s="143"/>
      <c r="U324" s="143"/>
      <c r="AP324"/>
      <c r="AQ324"/>
      <c r="AR324"/>
      <c r="AS324"/>
      <c r="AT324"/>
    </row>
    <row r="325" spans="1:46">
      <c r="A325" s="95" t="s">
        <v>215</v>
      </c>
      <c r="B325" s="95" t="s">
        <v>88</v>
      </c>
      <c r="C325" s="95" t="s">
        <v>229</v>
      </c>
      <c r="D325" s="95" t="s">
        <v>114</v>
      </c>
      <c r="E325" s="95" t="s">
        <v>90</v>
      </c>
      <c r="F325" s="95" t="s">
        <v>230</v>
      </c>
      <c r="G325" s="95" t="s">
        <v>218</v>
      </c>
      <c r="H325" s="95" t="s">
        <v>185</v>
      </c>
      <c r="I325" s="95">
        <v>-277859.28999999998</v>
      </c>
      <c r="J325" s="95"/>
      <c r="K325" s="95"/>
      <c r="L325" s="95"/>
      <c r="M325" s="95"/>
      <c r="N325" s="95">
        <v>-277859.28999999998</v>
      </c>
      <c r="O325" s="95"/>
      <c r="P325" s="95"/>
      <c r="Q325" s="95"/>
      <c r="R325" s="95"/>
      <c r="S325" s="143"/>
      <c r="T325" s="143"/>
      <c r="U325" s="143"/>
      <c r="AP325"/>
      <c r="AQ325"/>
      <c r="AR325"/>
      <c r="AS325"/>
      <c r="AT325"/>
    </row>
    <row r="326" spans="1:46">
      <c r="A326" s="95" t="s">
        <v>215</v>
      </c>
      <c r="B326" s="95" t="s">
        <v>89</v>
      </c>
      <c r="C326" s="95" t="s">
        <v>214</v>
      </c>
      <c r="D326" s="95" t="s">
        <v>90</v>
      </c>
      <c r="E326" s="95" t="s">
        <v>114</v>
      </c>
      <c r="F326" s="95" t="s">
        <v>215</v>
      </c>
      <c r="G326" s="95" t="s">
        <v>216</v>
      </c>
      <c r="H326" s="95" t="s">
        <v>185</v>
      </c>
      <c r="I326" s="95">
        <v>452961</v>
      </c>
      <c r="J326" s="95"/>
      <c r="K326" s="95"/>
      <c r="L326" s="95"/>
      <c r="M326" s="95"/>
      <c r="N326" s="95">
        <v>452961</v>
      </c>
      <c r="O326" s="95"/>
      <c r="P326" s="95"/>
      <c r="Q326" s="95"/>
      <c r="R326" s="95"/>
      <c r="S326" s="143"/>
      <c r="T326" s="143"/>
      <c r="U326" s="143"/>
      <c r="AP326"/>
      <c r="AQ326"/>
      <c r="AR326"/>
      <c r="AS326"/>
      <c r="AT326"/>
    </row>
    <row r="327" spans="1:46">
      <c r="A327" s="95" t="s">
        <v>215</v>
      </c>
      <c r="B327" s="95" t="s">
        <v>89</v>
      </c>
      <c r="C327" s="95" t="s">
        <v>217</v>
      </c>
      <c r="D327" s="95" t="s">
        <v>90</v>
      </c>
      <c r="E327" s="95" t="s">
        <v>114</v>
      </c>
      <c r="F327" s="95" t="s">
        <v>215</v>
      </c>
      <c r="G327" s="95" t="s">
        <v>218</v>
      </c>
      <c r="H327" s="95" t="s">
        <v>185</v>
      </c>
      <c r="I327" s="95">
        <v>27347.66</v>
      </c>
      <c r="J327" s="95"/>
      <c r="K327" s="95"/>
      <c r="L327" s="95"/>
      <c r="M327" s="95"/>
      <c r="N327" s="95"/>
      <c r="O327" s="95"/>
      <c r="P327" s="95"/>
      <c r="Q327" s="95"/>
      <c r="R327" s="95">
        <v>27347.66</v>
      </c>
      <c r="S327" s="143"/>
      <c r="T327" s="143"/>
      <c r="U327" s="143"/>
      <c r="AP327"/>
      <c r="AQ327"/>
      <c r="AR327"/>
      <c r="AS327"/>
      <c r="AT327"/>
    </row>
    <row r="328" spans="1:46">
      <c r="A328" s="95" t="s">
        <v>215</v>
      </c>
      <c r="B328" s="95" t="s">
        <v>89</v>
      </c>
      <c r="C328" s="95" t="s">
        <v>219</v>
      </c>
      <c r="D328" s="95" t="s">
        <v>90</v>
      </c>
      <c r="E328" s="95" t="s">
        <v>114</v>
      </c>
      <c r="F328" s="95" t="s">
        <v>215</v>
      </c>
      <c r="G328" s="95" t="s">
        <v>218</v>
      </c>
      <c r="H328" s="95" t="s">
        <v>185</v>
      </c>
      <c r="I328" s="95">
        <v>13608.69</v>
      </c>
      <c r="J328" s="95"/>
      <c r="K328" s="95"/>
      <c r="L328" s="95"/>
      <c r="M328" s="95"/>
      <c r="N328" s="95"/>
      <c r="O328" s="95"/>
      <c r="P328" s="95"/>
      <c r="Q328" s="95"/>
      <c r="R328" s="95">
        <v>13608.69</v>
      </c>
      <c r="S328" s="143"/>
      <c r="T328" s="143"/>
      <c r="U328" s="143"/>
      <c r="AP328"/>
      <c r="AQ328"/>
      <c r="AR328"/>
      <c r="AS328"/>
      <c r="AT328"/>
    </row>
    <row r="329" spans="1:46">
      <c r="A329" s="95" t="s">
        <v>215</v>
      </c>
      <c r="B329" s="95" t="s">
        <v>105</v>
      </c>
      <c r="C329" s="95" t="s">
        <v>231</v>
      </c>
      <c r="D329" s="95" t="s">
        <v>90</v>
      </c>
      <c r="E329" s="95" t="s">
        <v>114</v>
      </c>
      <c r="F329" s="95" t="s">
        <v>215</v>
      </c>
      <c r="G329" s="95" t="s">
        <v>232</v>
      </c>
      <c r="H329" s="95" t="s">
        <v>233</v>
      </c>
      <c r="I329" s="95">
        <v>353454</v>
      </c>
      <c r="J329" s="95">
        <v>353454</v>
      </c>
      <c r="K329" s="95"/>
      <c r="L329" s="95"/>
      <c r="M329" s="95"/>
      <c r="N329" s="95"/>
      <c r="O329" s="95"/>
      <c r="P329" s="95"/>
      <c r="Q329" s="95"/>
      <c r="R329" s="95"/>
      <c r="S329" s="143"/>
      <c r="T329" s="143"/>
      <c r="U329" s="143"/>
      <c r="AP329"/>
      <c r="AQ329"/>
      <c r="AR329"/>
      <c r="AS329"/>
      <c r="AT329"/>
    </row>
    <row r="330" spans="1:46">
      <c r="A330" s="95" t="s">
        <v>215</v>
      </c>
      <c r="B330" s="95" t="s">
        <v>105</v>
      </c>
      <c r="C330" s="95" t="s">
        <v>234</v>
      </c>
      <c r="D330" s="95" t="s">
        <v>90</v>
      </c>
      <c r="E330" s="95" t="s">
        <v>114</v>
      </c>
      <c r="F330" s="95" t="s">
        <v>215</v>
      </c>
      <c r="G330" s="95" t="s">
        <v>232</v>
      </c>
      <c r="H330" s="95" t="s">
        <v>233</v>
      </c>
      <c r="I330" s="95">
        <v>160086</v>
      </c>
      <c r="J330" s="95">
        <v>160086</v>
      </c>
      <c r="K330" s="95"/>
      <c r="L330" s="95"/>
      <c r="M330" s="95"/>
      <c r="N330" s="95"/>
      <c r="O330" s="95"/>
      <c r="P330" s="95"/>
      <c r="Q330" s="95"/>
      <c r="R330" s="95"/>
      <c r="S330" s="143"/>
      <c r="T330" s="143"/>
      <c r="U330" s="143"/>
      <c r="AP330"/>
      <c r="AQ330"/>
      <c r="AR330"/>
      <c r="AS330"/>
      <c r="AT330"/>
    </row>
    <row r="331" spans="1:46">
      <c r="A331" s="95" t="s">
        <v>215</v>
      </c>
      <c r="B331" s="95" t="s">
        <v>105</v>
      </c>
      <c r="C331" s="95" t="s">
        <v>234</v>
      </c>
      <c r="D331" s="95" t="s">
        <v>90</v>
      </c>
      <c r="E331" s="95" t="s">
        <v>114</v>
      </c>
      <c r="F331" s="95" t="s">
        <v>215</v>
      </c>
      <c r="G331" s="95" t="s">
        <v>235</v>
      </c>
      <c r="H331" s="95" t="s">
        <v>188</v>
      </c>
      <c r="I331" s="95">
        <v>400000</v>
      </c>
      <c r="J331" s="95">
        <v>400000</v>
      </c>
      <c r="K331" s="95"/>
      <c r="L331" s="95"/>
      <c r="M331" s="95"/>
      <c r="N331" s="95"/>
      <c r="O331" s="95"/>
      <c r="P331" s="95"/>
      <c r="Q331" s="95"/>
      <c r="R331" s="95"/>
      <c r="S331" s="143"/>
      <c r="T331" s="143"/>
      <c r="U331" s="143"/>
      <c r="AP331"/>
      <c r="AQ331"/>
      <c r="AR331"/>
      <c r="AS331"/>
      <c r="AT331"/>
    </row>
    <row r="332" spans="1:46">
      <c r="A332" s="95" t="s">
        <v>215</v>
      </c>
      <c r="B332" s="95" t="s">
        <v>105</v>
      </c>
      <c r="C332" s="95" t="s">
        <v>236</v>
      </c>
      <c r="D332" s="95" t="s">
        <v>90</v>
      </c>
      <c r="E332" s="95" t="s">
        <v>114</v>
      </c>
      <c r="F332" s="95" t="s">
        <v>215</v>
      </c>
      <c r="G332" s="95" t="s">
        <v>237</v>
      </c>
      <c r="H332" s="95" t="s">
        <v>188</v>
      </c>
      <c r="I332" s="95">
        <v>109936</v>
      </c>
      <c r="J332" s="95">
        <v>109936</v>
      </c>
      <c r="K332" s="95"/>
      <c r="L332" s="95"/>
      <c r="M332" s="95"/>
      <c r="N332" s="95"/>
      <c r="O332" s="95"/>
      <c r="P332" s="95"/>
      <c r="Q332" s="95"/>
      <c r="R332" s="95"/>
      <c r="S332" s="143"/>
      <c r="T332" s="143"/>
      <c r="U332" s="143"/>
      <c r="AP332"/>
      <c r="AQ332"/>
      <c r="AR332"/>
      <c r="AS332"/>
      <c r="AT332"/>
    </row>
    <row r="333" spans="1:46">
      <c r="A333" s="95" t="s">
        <v>215</v>
      </c>
      <c r="B333" s="95" t="s">
        <v>105</v>
      </c>
      <c r="C333" s="95" t="s">
        <v>242</v>
      </c>
      <c r="D333" s="95" t="s">
        <v>90</v>
      </c>
      <c r="E333" s="95" t="s">
        <v>114</v>
      </c>
      <c r="F333" s="95" t="s">
        <v>215</v>
      </c>
      <c r="G333" s="95" t="s">
        <v>243</v>
      </c>
      <c r="H333" s="95" t="s">
        <v>188</v>
      </c>
      <c r="I333" s="95">
        <v>156209</v>
      </c>
      <c r="J333" s="95">
        <v>156209</v>
      </c>
      <c r="K333" s="95"/>
      <c r="L333" s="95"/>
      <c r="M333" s="95"/>
      <c r="N333" s="95"/>
      <c r="O333" s="95"/>
      <c r="P333" s="95"/>
      <c r="Q333" s="95"/>
      <c r="R333" s="95"/>
      <c r="S333" s="143"/>
      <c r="T333" s="143"/>
      <c r="U333" s="143"/>
      <c r="AP333"/>
      <c r="AQ333"/>
      <c r="AR333"/>
      <c r="AS333"/>
      <c r="AT333"/>
    </row>
    <row r="334" spans="1:46">
      <c r="A334" s="95" t="s">
        <v>215</v>
      </c>
      <c r="B334" s="95" t="s">
        <v>101</v>
      </c>
      <c r="C334" s="95" t="s">
        <v>238</v>
      </c>
      <c r="D334" s="95" t="s">
        <v>114</v>
      </c>
      <c r="E334" s="95" t="s">
        <v>90</v>
      </c>
      <c r="F334" s="95" t="s">
        <v>215</v>
      </c>
      <c r="G334" s="95" t="s">
        <v>235</v>
      </c>
      <c r="H334" s="95" t="s">
        <v>239</v>
      </c>
      <c r="I334" s="95">
        <v>-444444</v>
      </c>
      <c r="J334" s="95"/>
      <c r="K334" s="95"/>
      <c r="L334" s="95"/>
      <c r="M334" s="95"/>
      <c r="N334" s="95">
        <v>-444444</v>
      </c>
      <c r="O334" s="95"/>
      <c r="P334" s="95"/>
      <c r="Q334" s="95"/>
      <c r="R334" s="95"/>
      <c r="S334" s="143"/>
      <c r="T334" s="143"/>
      <c r="U334" s="143"/>
      <c r="AP334"/>
      <c r="AQ334"/>
      <c r="AR334"/>
      <c r="AS334"/>
      <c r="AT334"/>
    </row>
    <row r="335" spans="1:46">
      <c r="A335" s="95" t="s">
        <v>215</v>
      </c>
      <c r="B335" s="95" t="s">
        <v>101</v>
      </c>
      <c r="C335" s="95" t="s">
        <v>240</v>
      </c>
      <c r="D335" s="95" t="s">
        <v>114</v>
      </c>
      <c r="E335" s="95" t="s">
        <v>90</v>
      </c>
      <c r="F335" s="95" t="s">
        <v>215</v>
      </c>
      <c r="G335" s="95" t="s">
        <v>237</v>
      </c>
      <c r="H335" s="95" t="s">
        <v>189</v>
      </c>
      <c r="I335" s="95">
        <v>-122151.11</v>
      </c>
      <c r="J335" s="95"/>
      <c r="K335" s="95"/>
      <c r="L335" s="95"/>
      <c r="M335" s="95"/>
      <c r="N335" s="95"/>
      <c r="O335" s="95">
        <v>-122151.11</v>
      </c>
      <c r="P335" s="95"/>
      <c r="Q335" s="95"/>
      <c r="R335" s="95"/>
      <c r="S335" s="143"/>
      <c r="T335" s="143"/>
      <c r="U335" s="143"/>
      <c r="AP335"/>
      <c r="AQ335"/>
      <c r="AR335"/>
      <c r="AS335"/>
      <c r="AT335"/>
    </row>
    <row r="336" spans="1:46">
      <c r="A336" s="95" t="s">
        <v>215</v>
      </c>
      <c r="B336" s="95" t="s">
        <v>101</v>
      </c>
      <c r="C336" s="95" t="s">
        <v>244</v>
      </c>
      <c r="D336" s="95" t="s">
        <v>114</v>
      </c>
      <c r="E336" s="95" t="s">
        <v>90</v>
      </c>
      <c r="F336" s="95" t="s">
        <v>215</v>
      </c>
      <c r="G336" s="95" t="s">
        <v>243</v>
      </c>
      <c r="H336" s="95" t="s">
        <v>189</v>
      </c>
      <c r="I336" s="95">
        <v>-173565.55</v>
      </c>
      <c r="J336" s="95"/>
      <c r="K336" s="95"/>
      <c r="L336" s="95"/>
      <c r="M336" s="95"/>
      <c r="N336" s="95"/>
      <c r="O336" s="95">
        <v>-173565.55</v>
      </c>
      <c r="P336" s="95"/>
      <c r="Q336" s="95"/>
      <c r="R336" s="95"/>
      <c r="S336" s="143"/>
      <c r="T336" s="143"/>
      <c r="U336" s="143"/>
      <c r="AP336"/>
      <c r="AQ336"/>
      <c r="AR336"/>
      <c r="AS336"/>
      <c r="AT336"/>
    </row>
    <row r="337" spans="1:46">
      <c r="A337" s="16" t="s">
        <v>215</v>
      </c>
      <c r="B337" s="16" t="s">
        <v>101</v>
      </c>
      <c r="C337" s="16" t="s">
        <v>231</v>
      </c>
      <c r="D337" s="16" t="s">
        <v>114</v>
      </c>
      <c r="E337" s="16" t="s">
        <v>90</v>
      </c>
      <c r="F337" s="16" t="s">
        <v>215</v>
      </c>
      <c r="G337" s="16" t="s">
        <v>232</v>
      </c>
      <c r="H337" s="16" t="s">
        <v>185</v>
      </c>
      <c r="I337" s="16">
        <v>-392727</v>
      </c>
      <c r="O337" s="16">
        <v>-392727</v>
      </c>
      <c r="S337" s="143"/>
      <c r="T337" s="143"/>
      <c r="U337" s="143"/>
      <c r="AP337"/>
      <c r="AQ337"/>
      <c r="AR337"/>
      <c r="AS337"/>
      <c r="AT337"/>
    </row>
    <row r="338" spans="1:46">
      <c r="A338" s="16" t="s">
        <v>215</v>
      </c>
      <c r="B338" s="16" t="s">
        <v>101</v>
      </c>
      <c r="C338" s="16" t="s">
        <v>234</v>
      </c>
      <c r="D338" s="16" t="s">
        <v>114</v>
      </c>
      <c r="E338" s="16" t="s">
        <v>90</v>
      </c>
      <c r="F338" s="16" t="s">
        <v>215</v>
      </c>
      <c r="G338" s="16" t="s">
        <v>232</v>
      </c>
      <c r="H338" s="16" t="s">
        <v>185</v>
      </c>
      <c r="I338" s="16">
        <v>-177873.33</v>
      </c>
      <c r="O338" s="16">
        <v>-177873.33</v>
      </c>
      <c r="S338" s="143"/>
      <c r="T338" s="143"/>
      <c r="U338" s="143"/>
      <c r="AP338"/>
      <c r="AQ338"/>
      <c r="AR338"/>
      <c r="AS338"/>
      <c r="AT338"/>
    </row>
    <row r="339" spans="1:46">
      <c r="A339" s="16" t="s">
        <v>230</v>
      </c>
      <c r="B339" s="16" t="s">
        <v>88</v>
      </c>
      <c r="C339" s="16" t="s">
        <v>269</v>
      </c>
      <c r="D339" s="16" t="s">
        <v>114</v>
      </c>
      <c r="E339" s="16" t="s">
        <v>90</v>
      </c>
      <c r="F339" s="16" t="s">
        <v>196</v>
      </c>
      <c r="G339" s="16" t="s">
        <v>274</v>
      </c>
      <c r="H339" s="16" t="s">
        <v>185</v>
      </c>
      <c r="I339" s="16">
        <v>-799371.63</v>
      </c>
      <c r="N339" s="16">
        <v>-799371.63</v>
      </c>
      <c r="S339" s="143"/>
      <c r="T339" s="143"/>
      <c r="U339" s="143"/>
      <c r="AP339"/>
      <c r="AQ339"/>
      <c r="AR339"/>
      <c r="AS339"/>
      <c r="AT339"/>
    </row>
    <row r="340" spans="1:46">
      <c r="A340" s="16" t="s">
        <v>230</v>
      </c>
      <c r="B340" s="16" t="s">
        <v>89</v>
      </c>
      <c r="C340" s="16" t="s">
        <v>229</v>
      </c>
      <c r="D340" s="16" t="s">
        <v>90</v>
      </c>
      <c r="E340" s="16" t="s">
        <v>114</v>
      </c>
      <c r="F340" s="16" t="s">
        <v>230</v>
      </c>
      <c r="G340" s="16" t="s">
        <v>218</v>
      </c>
      <c r="H340" s="16" t="s">
        <v>185</v>
      </c>
      <c r="I340" s="16">
        <v>277859.28999999998</v>
      </c>
      <c r="N340" s="16">
        <v>277859.28999999998</v>
      </c>
      <c r="S340" s="143"/>
      <c r="T340" s="143"/>
      <c r="U340" s="143"/>
      <c r="AP340"/>
      <c r="AQ340"/>
      <c r="AR340"/>
      <c r="AS340"/>
      <c r="AT340"/>
    </row>
    <row r="341" spans="1:46">
      <c r="A341" s="16" t="s">
        <v>230</v>
      </c>
      <c r="B341" s="16" t="s">
        <v>105</v>
      </c>
      <c r="C341" s="16" t="s">
        <v>275</v>
      </c>
      <c r="D341" s="16" t="s">
        <v>90</v>
      </c>
      <c r="E341" s="16" t="s">
        <v>114</v>
      </c>
      <c r="F341" s="16" t="s">
        <v>230</v>
      </c>
      <c r="G341" s="16" t="s">
        <v>211</v>
      </c>
      <c r="H341" s="16" t="s">
        <v>188</v>
      </c>
      <c r="I341" s="16">
        <v>500000</v>
      </c>
      <c r="J341" s="16">
        <v>500000</v>
      </c>
      <c r="S341" s="143"/>
      <c r="T341" s="143"/>
      <c r="U341" s="143"/>
      <c r="AP341"/>
      <c r="AQ341"/>
      <c r="AR341"/>
      <c r="AS341"/>
      <c r="AT341"/>
    </row>
    <row r="342" spans="1:46">
      <c r="A342" s="16" t="s">
        <v>230</v>
      </c>
      <c r="B342" s="16" t="s">
        <v>105</v>
      </c>
      <c r="C342" s="16" t="s">
        <v>257</v>
      </c>
      <c r="D342" s="16" t="s">
        <v>90</v>
      </c>
      <c r="E342" s="16" t="s">
        <v>114</v>
      </c>
      <c r="F342" s="16" t="s">
        <v>230</v>
      </c>
      <c r="G342" s="16" t="s">
        <v>241</v>
      </c>
      <c r="H342" s="16" t="s">
        <v>233</v>
      </c>
      <c r="I342" s="16">
        <v>607063</v>
      </c>
      <c r="J342" s="16">
        <v>607063</v>
      </c>
      <c r="S342" s="143"/>
      <c r="T342" s="143"/>
      <c r="U342" s="143"/>
      <c r="AP342"/>
      <c r="AQ342"/>
      <c r="AR342"/>
      <c r="AS342"/>
      <c r="AT342"/>
    </row>
    <row r="343" spans="1:46">
      <c r="A343" s="16" t="s">
        <v>230</v>
      </c>
      <c r="B343" s="16" t="s">
        <v>101</v>
      </c>
      <c r="C343" s="16" t="s">
        <v>275</v>
      </c>
      <c r="D343" s="16" t="s">
        <v>114</v>
      </c>
      <c r="E343" s="16" t="s">
        <v>90</v>
      </c>
      <c r="F343" s="16" t="s">
        <v>230</v>
      </c>
      <c r="G343" s="16" t="s">
        <v>211</v>
      </c>
      <c r="H343" s="16" t="s">
        <v>276</v>
      </c>
      <c r="I343" s="16">
        <v>-555555</v>
      </c>
      <c r="N343" s="16">
        <v>-555555</v>
      </c>
    </row>
    <row r="344" spans="1:46">
      <c r="A344" s="16" t="s">
        <v>230</v>
      </c>
      <c r="B344" s="16" t="s">
        <v>101</v>
      </c>
      <c r="C344" s="16" t="s">
        <v>257</v>
      </c>
      <c r="D344" s="16" t="s">
        <v>114</v>
      </c>
      <c r="E344" s="16" t="s">
        <v>90</v>
      </c>
      <c r="F344" s="16" t="s">
        <v>230</v>
      </c>
      <c r="G344" s="16" t="s">
        <v>241</v>
      </c>
      <c r="H344" s="16" t="s">
        <v>185</v>
      </c>
      <c r="I344" s="16">
        <v>-674514</v>
      </c>
      <c r="O344" s="16">
        <v>-674514</v>
      </c>
    </row>
    <row r="345" spans="1:46">
      <c r="A345" s="155" t="s">
        <v>196</v>
      </c>
      <c r="B345" s="155" t="s">
        <v>88</v>
      </c>
      <c r="C345" s="155" t="s">
        <v>283</v>
      </c>
      <c r="D345" s="155" t="s">
        <v>114</v>
      </c>
      <c r="E345" s="155" t="s">
        <v>90</v>
      </c>
      <c r="F345" s="155" t="s">
        <v>284</v>
      </c>
      <c r="G345" s="155" t="s">
        <v>285</v>
      </c>
      <c r="H345" s="155" t="s">
        <v>286</v>
      </c>
      <c r="I345" s="155">
        <v>-58619</v>
      </c>
      <c r="J345" s="155"/>
      <c r="K345" s="155"/>
      <c r="L345" s="155"/>
      <c r="M345" s="155"/>
      <c r="N345" s="155">
        <v>-58619</v>
      </c>
      <c r="O345" s="155"/>
      <c r="P345" s="155"/>
      <c r="Q345" s="155"/>
      <c r="R345" s="155"/>
      <c r="S345" s="155"/>
      <c r="T345" s="155"/>
      <c r="U345" s="155"/>
    </row>
    <row r="346" spans="1:46">
      <c r="A346" s="155" t="s">
        <v>196</v>
      </c>
      <c r="B346" s="155" t="s">
        <v>88</v>
      </c>
      <c r="C346" s="155" t="s">
        <v>283</v>
      </c>
      <c r="D346" s="155" t="s">
        <v>114</v>
      </c>
      <c r="E346" s="155" t="s">
        <v>90</v>
      </c>
      <c r="F346" s="155" t="s">
        <v>284</v>
      </c>
      <c r="G346" s="155" t="s">
        <v>287</v>
      </c>
      <c r="H346" s="155" t="s">
        <v>286</v>
      </c>
      <c r="I346" s="155">
        <v>-45397.16</v>
      </c>
      <c r="J346" s="155"/>
      <c r="K346" s="155"/>
      <c r="L346" s="155"/>
      <c r="M346" s="155"/>
      <c r="N346" s="155">
        <v>-45397.16</v>
      </c>
      <c r="O346" s="155"/>
      <c r="P346" s="155"/>
      <c r="Q346" s="155"/>
      <c r="R346" s="155"/>
      <c r="S346" s="155"/>
      <c r="T346" s="155"/>
      <c r="U346" s="155"/>
    </row>
    <row r="347" spans="1:46">
      <c r="A347" s="168" t="s">
        <v>196</v>
      </c>
      <c r="B347" s="168" t="s">
        <v>88</v>
      </c>
      <c r="C347" s="168" t="s">
        <v>283</v>
      </c>
      <c r="D347" s="168" t="s">
        <v>114</v>
      </c>
      <c r="E347" s="168" t="s">
        <v>90</v>
      </c>
      <c r="F347" s="168" t="s">
        <v>288</v>
      </c>
      <c r="G347" s="168" t="s">
        <v>289</v>
      </c>
      <c r="H347" s="168" t="s">
        <v>286</v>
      </c>
      <c r="I347" s="168">
        <v>-850000</v>
      </c>
      <c r="J347" s="168"/>
      <c r="K347" s="168"/>
      <c r="L347" s="168"/>
      <c r="M347" s="168"/>
      <c r="N347" s="168">
        <v>-850000</v>
      </c>
      <c r="O347" s="168"/>
      <c r="P347" s="168"/>
      <c r="Q347" s="168"/>
      <c r="R347" s="168"/>
      <c r="S347" s="168"/>
      <c r="T347" s="168"/>
      <c r="U347" s="168"/>
    </row>
    <row r="348" spans="1:46">
      <c r="A348" s="168" t="s">
        <v>196</v>
      </c>
      <c r="B348" s="168" t="s">
        <v>89</v>
      </c>
      <c r="C348" s="168" t="s">
        <v>195</v>
      </c>
      <c r="D348" s="168" t="s">
        <v>90</v>
      </c>
      <c r="E348" s="168" t="s">
        <v>114</v>
      </c>
      <c r="F348" s="168" t="s">
        <v>196</v>
      </c>
      <c r="G348" s="168" t="s">
        <v>197</v>
      </c>
      <c r="H348" s="168" t="s">
        <v>198</v>
      </c>
      <c r="I348" s="168">
        <v>315000</v>
      </c>
      <c r="J348" s="168"/>
      <c r="K348" s="168"/>
      <c r="L348" s="168"/>
      <c r="M348" s="168"/>
      <c r="N348" s="168">
        <v>315000</v>
      </c>
      <c r="O348" s="168"/>
      <c r="P348" s="168"/>
      <c r="Q348" s="168"/>
      <c r="R348" s="168"/>
      <c r="S348" s="168"/>
      <c r="T348" s="168"/>
      <c r="U348" s="168"/>
    </row>
    <row r="349" spans="1:46">
      <c r="A349" s="169" t="s">
        <v>196</v>
      </c>
      <c r="B349" s="169" t="s">
        <v>89</v>
      </c>
      <c r="C349" s="169" t="s">
        <v>269</v>
      </c>
      <c r="D349" s="169" t="s">
        <v>90</v>
      </c>
      <c r="E349" s="169" t="s">
        <v>114</v>
      </c>
      <c r="F349" s="169" t="s">
        <v>196</v>
      </c>
      <c r="G349" s="169" t="s">
        <v>274</v>
      </c>
      <c r="H349" s="169" t="s">
        <v>185</v>
      </c>
      <c r="I349" s="169">
        <v>799371.63</v>
      </c>
      <c r="J349" s="169"/>
      <c r="K349" s="169"/>
      <c r="L349" s="169"/>
      <c r="M349" s="169"/>
      <c r="N349" s="169">
        <v>799371.63</v>
      </c>
      <c r="O349" s="169"/>
      <c r="P349" s="169"/>
      <c r="Q349" s="169"/>
      <c r="R349" s="169"/>
      <c r="S349" s="169"/>
      <c r="T349" s="169"/>
      <c r="U349" s="169"/>
    </row>
    <row r="350" spans="1:46">
      <c r="A350" s="169" t="s">
        <v>196</v>
      </c>
      <c r="B350" s="169" t="s">
        <v>105</v>
      </c>
      <c r="C350" s="169" t="s">
        <v>290</v>
      </c>
      <c r="D350" s="169" t="s">
        <v>90</v>
      </c>
      <c r="E350" s="169" t="s">
        <v>114</v>
      </c>
      <c r="F350" s="169" t="s">
        <v>196</v>
      </c>
      <c r="G350" s="169" t="s">
        <v>291</v>
      </c>
      <c r="H350" s="169" t="s">
        <v>188</v>
      </c>
      <c r="I350" s="169">
        <v>393972</v>
      </c>
      <c r="J350" s="169">
        <v>393972</v>
      </c>
      <c r="K350" s="169"/>
      <c r="L350" s="169"/>
      <c r="M350" s="169"/>
      <c r="N350" s="169"/>
      <c r="O350" s="169"/>
      <c r="P350" s="169"/>
      <c r="Q350" s="169"/>
      <c r="R350" s="169"/>
      <c r="S350" s="169"/>
      <c r="T350" s="169"/>
      <c r="U350" s="169"/>
    </row>
    <row r="351" spans="1:46">
      <c r="A351" s="169" t="s">
        <v>196</v>
      </c>
      <c r="B351" s="169" t="s">
        <v>105</v>
      </c>
      <c r="C351" s="169" t="s">
        <v>278</v>
      </c>
      <c r="D351" s="169" t="s">
        <v>90</v>
      </c>
      <c r="E351" s="169" t="s">
        <v>114</v>
      </c>
      <c r="F351" s="169" t="s">
        <v>196</v>
      </c>
      <c r="G351" s="169" t="s">
        <v>270</v>
      </c>
      <c r="H351" s="169" t="s">
        <v>279</v>
      </c>
      <c r="I351" s="169">
        <v>439742</v>
      </c>
      <c r="J351" s="169">
        <v>439742</v>
      </c>
      <c r="K351" s="169"/>
      <c r="L351" s="169"/>
      <c r="M351" s="169"/>
      <c r="N351" s="169"/>
      <c r="O351" s="169"/>
      <c r="P351" s="169"/>
      <c r="Q351" s="169"/>
      <c r="R351" s="169"/>
      <c r="S351" s="169"/>
      <c r="T351" s="169"/>
      <c r="U351" s="169"/>
    </row>
    <row r="352" spans="1:46">
      <c r="A352" s="172" t="s">
        <v>196</v>
      </c>
      <c r="B352" s="172" t="s">
        <v>105</v>
      </c>
      <c r="C352" s="172" t="s">
        <v>278</v>
      </c>
      <c r="D352" s="172" t="s">
        <v>90</v>
      </c>
      <c r="E352" s="172" t="s">
        <v>114</v>
      </c>
      <c r="F352" s="172" t="s">
        <v>196</v>
      </c>
      <c r="G352" s="172" t="s">
        <v>277</v>
      </c>
      <c r="H352" s="172" t="s">
        <v>279</v>
      </c>
      <c r="I352" s="172">
        <v>520943</v>
      </c>
      <c r="J352" s="172">
        <v>520943</v>
      </c>
      <c r="K352" s="172"/>
      <c r="L352" s="172"/>
      <c r="M352" s="172"/>
      <c r="N352" s="172"/>
      <c r="O352" s="172"/>
      <c r="P352" s="172"/>
      <c r="Q352" s="172"/>
      <c r="R352" s="172"/>
      <c r="S352" s="172"/>
      <c r="T352" s="172"/>
      <c r="U352" s="172"/>
    </row>
    <row r="353" spans="1:21">
      <c r="A353" s="172" t="s">
        <v>196</v>
      </c>
      <c r="B353" s="172" t="s">
        <v>101</v>
      </c>
      <c r="C353" s="172" t="s">
        <v>290</v>
      </c>
      <c r="D353" s="172" t="s">
        <v>114</v>
      </c>
      <c r="E353" s="172" t="s">
        <v>90</v>
      </c>
      <c r="F353" s="172" t="s">
        <v>196</v>
      </c>
      <c r="G353" s="172" t="s">
        <v>291</v>
      </c>
      <c r="H353" s="172" t="s">
        <v>276</v>
      </c>
      <c r="I353" s="172">
        <v>-437747</v>
      </c>
      <c r="J353" s="172"/>
      <c r="K353" s="172"/>
      <c r="L353" s="172"/>
      <c r="M353" s="172"/>
      <c r="N353" s="172">
        <v>-437747</v>
      </c>
      <c r="O353" s="172"/>
      <c r="P353" s="172"/>
      <c r="Q353" s="172"/>
      <c r="R353" s="172"/>
      <c r="S353" s="172"/>
      <c r="T353" s="172"/>
      <c r="U353" s="172"/>
    </row>
    <row r="354" spans="1:21">
      <c r="A354" s="172" t="s">
        <v>196</v>
      </c>
      <c r="B354" s="172" t="s">
        <v>101</v>
      </c>
      <c r="C354" s="172" t="s">
        <v>278</v>
      </c>
      <c r="D354" s="172" t="s">
        <v>114</v>
      </c>
      <c r="E354" s="172" t="s">
        <v>90</v>
      </c>
      <c r="F354" s="172" t="s">
        <v>196</v>
      </c>
      <c r="G354" s="172" t="s">
        <v>270</v>
      </c>
      <c r="H354" s="172" t="s">
        <v>276</v>
      </c>
      <c r="I354" s="172">
        <v>-488602.22</v>
      </c>
      <c r="J354" s="172"/>
      <c r="K354" s="172"/>
      <c r="L354" s="172"/>
      <c r="M354" s="172"/>
      <c r="N354" s="172"/>
      <c r="O354" s="172"/>
      <c r="P354" s="172">
        <v>-488602.22</v>
      </c>
      <c r="Q354" s="172"/>
      <c r="R354" s="172"/>
      <c r="S354" s="172"/>
      <c r="T354" s="172"/>
      <c r="U354" s="172"/>
    </row>
    <row r="355" spans="1:21">
      <c r="A355" s="172" t="s">
        <v>196</v>
      </c>
      <c r="B355" s="172" t="s">
        <v>101</v>
      </c>
      <c r="C355" s="172" t="s">
        <v>278</v>
      </c>
      <c r="D355" s="172" t="s">
        <v>114</v>
      </c>
      <c r="E355" s="172" t="s">
        <v>90</v>
      </c>
      <c r="F355" s="172" t="s">
        <v>196</v>
      </c>
      <c r="G355" s="172" t="s">
        <v>277</v>
      </c>
      <c r="H355" s="172" t="s">
        <v>276</v>
      </c>
      <c r="I355" s="172">
        <v>-578826</v>
      </c>
      <c r="J355" s="172"/>
      <c r="K355" s="172"/>
      <c r="L355" s="172"/>
      <c r="M355" s="172"/>
      <c r="N355" s="172">
        <v>-578826</v>
      </c>
      <c r="O355" s="172"/>
      <c r="P355" s="172"/>
      <c r="Q355" s="172"/>
      <c r="R355" s="172"/>
      <c r="S355" s="172"/>
      <c r="T355" s="172"/>
      <c r="U355" s="172"/>
    </row>
    <row r="356" spans="1:21">
      <c r="A356" s="172" t="s">
        <v>196</v>
      </c>
      <c r="B356" s="172" t="s">
        <v>101</v>
      </c>
      <c r="C356" s="172" t="s">
        <v>280</v>
      </c>
      <c r="D356" s="172" t="s">
        <v>114</v>
      </c>
      <c r="E356" s="172" t="s">
        <v>142</v>
      </c>
      <c r="F356" s="172" t="s">
        <v>196</v>
      </c>
      <c r="G356" s="172" t="s">
        <v>281</v>
      </c>
      <c r="H356" s="172" t="s">
        <v>282</v>
      </c>
      <c r="I356" s="172">
        <v>-10000</v>
      </c>
      <c r="J356" s="172"/>
      <c r="K356" s="172"/>
      <c r="L356" s="172"/>
      <c r="M356" s="172">
        <v>-10000</v>
      </c>
      <c r="N356" s="172"/>
      <c r="O356" s="172"/>
      <c r="P356" s="172"/>
      <c r="Q356" s="172"/>
      <c r="R356" s="172"/>
      <c r="S356" s="172"/>
      <c r="T356" s="172"/>
      <c r="U356" s="172"/>
    </row>
    <row r="357" spans="1:21">
      <c r="A357" s="172" t="s">
        <v>284</v>
      </c>
      <c r="B357" s="172" t="s">
        <v>88</v>
      </c>
      <c r="C357" s="172" t="s">
        <v>306</v>
      </c>
      <c r="D357" s="172" t="s">
        <v>114</v>
      </c>
      <c r="E357" s="172" t="s">
        <v>90</v>
      </c>
      <c r="F357" s="172" t="s">
        <v>288</v>
      </c>
      <c r="G357" s="172" t="s">
        <v>307</v>
      </c>
      <c r="H357" s="172" t="s">
        <v>308</v>
      </c>
      <c r="I357" s="172">
        <v>-333272.34999999998</v>
      </c>
      <c r="J357" s="172"/>
      <c r="K357" s="172"/>
      <c r="L357" s="172"/>
      <c r="M357" s="172"/>
      <c r="N357" s="172"/>
      <c r="O357" s="172"/>
      <c r="P357" s="172">
        <v>-333272.34999999998</v>
      </c>
      <c r="Q357" s="172"/>
      <c r="R357" s="172"/>
      <c r="S357" s="172"/>
      <c r="T357" s="172"/>
      <c r="U357" s="172"/>
    </row>
    <row r="358" spans="1:21">
      <c r="A358" s="172" t="s">
        <v>284</v>
      </c>
      <c r="B358" s="172" t="s">
        <v>89</v>
      </c>
      <c r="C358" s="172" t="s">
        <v>283</v>
      </c>
      <c r="D358" s="172" t="s">
        <v>90</v>
      </c>
      <c r="E358" s="172" t="s">
        <v>114</v>
      </c>
      <c r="F358" s="172" t="s">
        <v>284</v>
      </c>
      <c r="G358" s="172" t="s">
        <v>285</v>
      </c>
      <c r="H358" s="172" t="s">
        <v>286</v>
      </c>
      <c r="I358" s="172">
        <v>58619</v>
      </c>
      <c r="J358" s="172"/>
      <c r="K358" s="172"/>
      <c r="L358" s="172"/>
      <c r="M358" s="172"/>
      <c r="N358" s="172">
        <v>58619</v>
      </c>
      <c r="O358" s="172"/>
      <c r="P358" s="172"/>
      <c r="Q358" s="172"/>
      <c r="R358" s="172"/>
      <c r="S358" s="172"/>
      <c r="T358" s="172"/>
      <c r="U358" s="172"/>
    </row>
    <row r="359" spans="1:21">
      <c r="A359" s="172" t="s">
        <v>284</v>
      </c>
      <c r="B359" s="172" t="s">
        <v>89</v>
      </c>
      <c r="C359" s="172" t="s">
        <v>283</v>
      </c>
      <c r="D359" s="172" t="s">
        <v>90</v>
      </c>
      <c r="E359" s="172" t="s">
        <v>114</v>
      </c>
      <c r="F359" s="172" t="s">
        <v>284</v>
      </c>
      <c r="G359" s="172" t="s">
        <v>287</v>
      </c>
      <c r="H359" s="172" t="s">
        <v>286</v>
      </c>
      <c r="I359" s="172">
        <v>45397.16</v>
      </c>
      <c r="J359" s="172"/>
      <c r="K359" s="172"/>
      <c r="L359" s="172"/>
      <c r="M359" s="172"/>
      <c r="N359" s="172">
        <v>45397.16</v>
      </c>
      <c r="O359" s="172"/>
      <c r="P359" s="172"/>
      <c r="Q359" s="172"/>
      <c r="R359" s="172"/>
      <c r="S359" s="172"/>
      <c r="T359" s="172"/>
      <c r="U359" s="172"/>
    </row>
    <row r="360" spans="1:21">
      <c r="A360" s="175" t="s">
        <v>284</v>
      </c>
      <c r="B360" s="175" t="s">
        <v>105</v>
      </c>
      <c r="C360" s="175" t="s">
        <v>292</v>
      </c>
      <c r="D360" s="175" t="s">
        <v>90</v>
      </c>
      <c r="E360" s="175" t="s">
        <v>114</v>
      </c>
      <c r="F360" s="175" t="s">
        <v>284</v>
      </c>
      <c r="G360" s="175" t="s">
        <v>293</v>
      </c>
      <c r="H360" s="175" t="s">
        <v>188</v>
      </c>
      <c r="I360" s="175">
        <v>664780</v>
      </c>
      <c r="J360" s="175">
        <v>664780</v>
      </c>
      <c r="K360" s="175"/>
      <c r="L360" s="175"/>
      <c r="M360" s="175"/>
      <c r="N360" s="175"/>
      <c r="O360" s="175"/>
      <c r="P360" s="175"/>
      <c r="Q360" s="175"/>
      <c r="R360" s="175"/>
      <c r="S360" s="175"/>
      <c r="T360" s="175"/>
      <c r="U360" s="175"/>
    </row>
    <row r="361" spans="1:21">
      <c r="A361" s="175" t="s">
        <v>284</v>
      </c>
      <c r="B361" s="175" t="s">
        <v>105</v>
      </c>
      <c r="C361" s="175" t="s">
        <v>294</v>
      </c>
      <c r="D361" s="175" t="s">
        <v>90</v>
      </c>
      <c r="E361" s="175" t="s">
        <v>114</v>
      </c>
      <c r="F361" s="175" t="s">
        <v>284</v>
      </c>
      <c r="G361" s="175" t="s">
        <v>295</v>
      </c>
      <c r="H361" s="175" t="s">
        <v>296</v>
      </c>
      <c r="I361" s="175">
        <v>76701.66</v>
      </c>
      <c r="J361" s="175"/>
      <c r="K361" s="175"/>
      <c r="L361" s="175"/>
      <c r="M361" s="175"/>
      <c r="N361" s="175">
        <v>76701.66</v>
      </c>
      <c r="O361" s="175"/>
      <c r="P361" s="175"/>
      <c r="Q361" s="175"/>
      <c r="R361" s="175"/>
      <c r="S361" s="175"/>
      <c r="T361" s="175"/>
      <c r="U361" s="175"/>
    </row>
    <row r="362" spans="1:21">
      <c r="A362" s="175" t="s">
        <v>284</v>
      </c>
      <c r="B362" s="175" t="s">
        <v>105</v>
      </c>
      <c r="C362" s="175" t="s">
        <v>297</v>
      </c>
      <c r="D362" s="175" t="s">
        <v>90</v>
      </c>
      <c r="E362" s="175" t="s">
        <v>114</v>
      </c>
      <c r="F362" s="175" t="s">
        <v>284</v>
      </c>
      <c r="G362" s="175" t="s">
        <v>298</v>
      </c>
      <c r="H362" s="175" t="s">
        <v>299</v>
      </c>
      <c r="I362" s="175">
        <v>755300</v>
      </c>
      <c r="J362" s="175">
        <v>755300</v>
      </c>
      <c r="K362" s="175"/>
      <c r="L362" s="175"/>
      <c r="M362" s="175"/>
      <c r="N362" s="175"/>
      <c r="O362" s="175"/>
      <c r="P362" s="175"/>
      <c r="Q362" s="175"/>
      <c r="R362" s="175"/>
      <c r="S362" s="175"/>
      <c r="T362" s="175"/>
      <c r="U362" s="175"/>
    </row>
    <row r="363" spans="1:21">
      <c r="A363" s="175" t="s">
        <v>284</v>
      </c>
      <c r="B363" s="175" t="s">
        <v>101</v>
      </c>
      <c r="C363" s="175" t="s">
        <v>292</v>
      </c>
      <c r="D363" s="175" t="s">
        <v>114</v>
      </c>
      <c r="E363" s="175" t="s">
        <v>90</v>
      </c>
      <c r="F363" s="175" t="s">
        <v>284</v>
      </c>
      <c r="G363" s="175" t="s">
        <v>293</v>
      </c>
      <c r="H363" s="175" t="s">
        <v>276</v>
      </c>
      <c r="I363" s="175">
        <v>-738644</v>
      </c>
      <c r="J363" s="175"/>
      <c r="K363" s="175"/>
      <c r="L363" s="175"/>
      <c r="M363" s="175"/>
      <c r="N363" s="175">
        <v>-738644</v>
      </c>
      <c r="O363" s="175"/>
      <c r="P363" s="175"/>
      <c r="Q363" s="175"/>
      <c r="R363" s="175"/>
      <c r="S363" s="175"/>
      <c r="T363" s="175"/>
      <c r="U363" s="175"/>
    </row>
    <row r="364" spans="1:21">
      <c r="A364" s="175" t="s">
        <v>284</v>
      </c>
      <c r="B364" s="175" t="s">
        <v>101</v>
      </c>
      <c r="C364" s="175" t="s">
        <v>294</v>
      </c>
      <c r="D364" s="175" t="s">
        <v>114</v>
      </c>
      <c r="E364" s="175" t="s">
        <v>90</v>
      </c>
      <c r="F364" s="175" t="s">
        <v>284</v>
      </c>
      <c r="G364" s="175" t="s">
        <v>295</v>
      </c>
      <c r="H364" s="175" t="s">
        <v>300</v>
      </c>
      <c r="I364" s="175">
        <v>-69031.5</v>
      </c>
      <c r="J364" s="175">
        <v>-69031.5</v>
      </c>
      <c r="K364" s="175"/>
      <c r="L364" s="175"/>
      <c r="M364" s="175"/>
      <c r="N364" s="175"/>
      <c r="O364" s="175"/>
      <c r="P364" s="175"/>
      <c r="Q364" s="175"/>
      <c r="R364" s="175"/>
      <c r="S364" s="175"/>
      <c r="T364" s="175"/>
      <c r="U364" s="175"/>
    </row>
    <row r="365" spans="1:21">
      <c r="A365" s="175" t="s">
        <v>284</v>
      </c>
      <c r="B365" s="175" t="s">
        <v>101</v>
      </c>
      <c r="C365" s="175" t="s">
        <v>297</v>
      </c>
      <c r="D365" s="175" t="s">
        <v>114</v>
      </c>
      <c r="E365" s="175" t="s">
        <v>90</v>
      </c>
      <c r="F365" s="175" t="s">
        <v>284</v>
      </c>
      <c r="G365" s="175" t="s">
        <v>298</v>
      </c>
      <c r="H365" s="175" t="s">
        <v>301</v>
      </c>
      <c r="I365" s="175">
        <v>-839222.22</v>
      </c>
      <c r="J365" s="175"/>
      <c r="K365" s="175"/>
      <c r="L365" s="175"/>
      <c r="M365" s="175"/>
      <c r="N365" s="175">
        <v>-839222.22</v>
      </c>
      <c r="O365" s="175"/>
      <c r="P365" s="175"/>
      <c r="Q365" s="175"/>
      <c r="R365" s="175"/>
      <c r="S365" s="175"/>
      <c r="T365" s="175"/>
      <c r="U365" s="175"/>
    </row>
    <row r="366" spans="1:21">
      <c r="A366" s="16" t="s">
        <v>288</v>
      </c>
      <c r="B366" s="16" t="s">
        <v>88</v>
      </c>
      <c r="C366" s="16" t="s">
        <v>323</v>
      </c>
      <c r="D366" s="16" t="s">
        <v>114</v>
      </c>
      <c r="E366" s="16" t="s">
        <v>90</v>
      </c>
      <c r="F366" s="16" t="s">
        <v>324</v>
      </c>
      <c r="G366" s="16" t="s">
        <v>325</v>
      </c>
      <c r="H366" s="16" t="s">
        <v>308</v>
      </c>
      <c r="I366" s="16">
        <v>-227372.35</v>
      </c>
      <c r="P366" s="16">
        <v>-227372.35</v>
      </c>
    </row>
    <row r="367" spans="1:21">
      <c r="A367" s="16" t="s">
        <v>288</v>
      </c>
      <c r="B367" s="16" t="s">
        <v>88</v>
      </c>
      <c r="C367" s="16" t="s">
        <v>323</v>
      </c>
      <c r="D367" s="16" t="s">
        <v>114</v>
      </c>
      <c r="E367" s="16" t="s">
        <v>90</v>
      </c>
      <c r="F367" s="16" t="s">
        <v>324</v>
      </c>
      <c r="G367" s="16" t="s">
        <v>326</v>
      </c>
      <c r="H367" s="16" t="s">
        <v>327</v>
      </c>
      <c r="I367" s="16">
        <v>-202434</v>
      </c>
      <c r="N367" s="16">
        <v>-202434</v>
      </c>
    </row>
    <row r="368" spans="1:21">
      <c r="A368" s="16" t="s">
        <v>288</v>
      </c>
      <c r="B368" s="16" t="s">
        <v>89</v>
      </c>
      <c r="C368" s="16" t="s">
        <v>283</v>
      </c>
      <c r="D368" s="16" t="s">
        <v>90</v>
      </c>
      <c r="E368" s="16" t="s">
        <v>114</v>
      </c>
      <c r="F368" s="16" t="s">
        <v>288</v>
      </c>
      <c r="G368" s="16" t="s">
        <v>289</v>
      </c>
      <c r="H368" s="16" t="s">
        <v>286</v>
      </c>
      <c r="I368" s="16">
        <v>850000</v>
      </c>
      <c r="N368" s="16">
        <v>850000</v>
      </c>
    </row>
    <row r="369" spans="1:21">
      <c r="A369" s="183" t="s">
        <v>288</v>
      </c>
      <c r="B369" s="183" t="s">
        <v>89</v>
      </c>
      <c r="C369" s="183" t="s">
        <v>306</v>
      </c>
      <c r="D369" s="183" t="s">
        <v>90</v>
      </c>
      <c r="E369" s="183" t="s">
        <v>114</v>
      </c>
      <c r="F369" s="183" t="s">
        <v>288</v>
      </c>
      <c r="G369" s="183" t="s">
        <v>307</v>
      </c>
      <c r="H369" s="183" t="s">
        <v>308</v>
      </c>
      <c r="I369" s="183">
        <v>333272.34999999998</v>
      </c>
      <c r="J369" s="183"/>
      <c r="K369" s="183"/>
      <c r="L369" s="183"/>
      <c r="M369" s="183"/>
      <c r="N369" s="183"/>
      <c r="O369" s="183"/>
      <c r="P369" s="183">
        <v>333272.34999999998</v>
      </c>
      <c r="Q369" s="183"/>
      <c r="R369" s="183"/>
      <c r="S369" s="183"/>
      <c r="T369" s="183"/>
      <c r="U369" s="183"/>
    </row>
    <row r="370" spans="1:21">
      <c r="A370" s="183" t="s">
        <v>288</v>
      </c>
      <c r="B370" s="183" t="s">
        <v>105</v>
      </c>
      <c r="C370" s="183" t="s">
        <v>314</v>
      </c>
      <c r="D370" s="183" t="s">
        <v>90</v>
      </c>
      <c r="E370" s="183" t="s">
        <v>114</v>
      </c>
      <c r="F370" s="183" t="s">
        <v>288</v>
      </c>
      <c r="G370" s="183" t="s">
        <v>305</v>
      </c>
      <c r="H370" s="183" t="s">
        <v>188</v>
      </c>
      <c r="I370" s="183">
        <v>555300</v>
      </c>
      <c r="J370" s="183">
        <v>555300</v>
      </c>
      <c r="K370" s="183"/>
      <c r="L370" s="183"/>
      <c r="M370" s="183"/>
      <c r="N370" s="183"/>
      <c r="O370" s="183"/>
      <c r="P370" s="183"/>
      <c r="Q370" s="183"/>
      <c r="R370" s="183"/>
      <c r="S370" s="183"/>
      <c r="T370" s="183"/>
      <c r="U370" s="183"/>
    </row>
    <row r="371" spans="1:21">
      <c r="A371" s="186" t="s">
        <v>288</v>
      </c>
      <c r="B371" s="186" t="s">
        <v>105</v>
      </c>
      <c r="C371" s="186" t="s">
        <v>320</v>
      </c>
      <c r="D371" s="186" t="s">
        <v>90</v>
      </c>
      <c r="E371" s="186" t="s">
        <v>114</v>
      </c>
      <c r="F371" s="186" t="s">
        <v>288</v>
      </c>
      <c r="G371" s="186" t="s">
        <v>319</v>
      </c>
      <c r="H371" s="186" t="s">
        <v>188</v>
      </c>
      <c r="I371" s="186">
        <v>38135</v>
      </c>
      <c r="J371" s="186">
        <v>38135</v>
      </c>
      <c r="K371" s="186"/>
      <c r="L371" s="186"/>
      <c r="M371" s="186"/>
      <c r="N371" s="186"/>
      <c r="O371" s="186"/>
      <c r="P371" s="186"/>
      <c r="Q371" s="186"/>
      <c r="R371" s="186"/>
      <c r="S371" s="186"/>
      <c r="T371" s="186"/>
      <c r="U371" s="186"/>
    </row>
    <row r="372" spans="1:21">
      <c r="A372" s="186" t="s">
        <v>288</v>
      </c>
      <c r="B372" s="186" t="s">
        <v>105</v>
      </c>
      <c r="C372" s="186" t="s">
        <v>321</v>
      </c>
      <c r="D372" s="186" t="s">
        <v>90</v>
      </c>
      <c r="E372" s="186" t="s">
        <v>114</v>
      </c>
      <c r="F372" s="186" t="s">
        <v>288</v>
      </c>
      <c r="G372" s="186" t="s">
        <v>318</v>
      </c>
      <c r="H372" s="186" t="s">
        <v>188</v>
      </c>
      <c r="I372" s="186">
        <v>896665</v>
      </c>
      <c r="J372" s="186">
        <v>896665</v>
      </c>
      <c r="K372" s="186"/>
      <c r="L372" s="186"/>
      <c r="M372" s="186"/>
      <c r="N372" s="186"/>
      <c r="O372" s="186"/>
      <c r="P372" s="186"/>
      <c r="Q372" s="186"/>
      <c r="R372" s="186"/>
      <c r="S372" s="186"/>
      <c r="T372" s="186"/>
      <c r="U372" s="186"/>
    </row>
    <row r="373" spans="1:21">
      <c r="A373" s="187" t="s">
        <v>288</v>
      </c>
      <c r="B373" s="187" t="s">
        <v>105</v>
      </c>
      <c r="C373" s="187" t="s">
        <v>362</v>
      </c>
      <c r="D373" s="187" t="s">
        <v>90</v>
      </c>
      <c r="E373" s="187" t="s">
        <v>114</v>
      </c>
      <c r="F373" s="187" t="s">
        <v>288</v>
      </c>
      <c r="G373" s="187" t="s">
        <v>363</v>
      </c>
      <c r="H373" s="187" t="s">
        <v>364</v>
      </c>
      <c r="I373" s="187">
        <v>161864</v>
      </c>
      <c r="J373" s="187">
        <v>161864</v>
      </c>
      <c r="K373" s="187"/>
      <c r="L373" s="187"/>
      <c r="M373" s="187"/>
      <c r="N373" s="187"/>
      <c r="O373" s="187"/>
      <c r="P373" s="187"/>
      <c r="Q373" s="187"/>
      <c r="R373" s="187"/>
      <c r="S373" s="187"/>
      <c r="T373" s="187"/>
      <c r="U373" s="187"/>
    </row>
    <row r="374" spans="1:21">
      <c r="A374" s="187" t="s">
        <v>288</v>
      </c>
      <c r="B374" s="187" t="s">
        <v>101</v>
      </c>
      <c r="C374" s="187" t="s">
        <v>314</v>
      </c>
      <c r="D374" s="187" t="s">
        <v>114</v>
      </c>
      <c r="E374" s="187" t="s">
        <v>90</v>
      </c>
      <c r="F374" s="187" t="s">
        <v>288</v>
      </c>
      <c r="G374" s="187" t="s">
        <v>305</v>
      </c>
      <c r="H374" s="187" t="s">
        <v>315</v>
      </c>
      <c r="I374" s="187">
        <v>-617000</v>
      </c>
      <c r="J374" s="187"/>
      <c r="K374" s="187"/>
      <c r="L374" s="187"/>
      <c r="M374" s="187"/>
      <c r="N374" s="187">
        <v>-617000</v>
      </c>
      <c r="O374" s="187"/>
      <c r="P374" s="187"/>
      <c r="Q374" s="187"/>
      <c r="R374" s="187"/>
      <c r="S374" s="187"/>
      <c r="T374" s="187"/>
      <c r="U374" s="187"/>
    </row>
    <row r="375" spans="1:21">
      <c r="A375" s="187" t="s">
        <v>288</v>
      </c>
      <c r="B375" s="187" t="s">
        <v>101</v>
      </c>
      <c r="C375" s="187" t="s">
        <v>320</v>
      </c>
      <c r="D375" s="187" t="s">
        <v>114</v>
      </c>
      <c r="E375" s="187" t="s">
        <v>90</v>
      </c>
      <c r="F375" s="187" t="s">
        <v>288</v>
      </c>
      <c r="G375" s="187" t="s">
        <v>319</v>
      </c>
      <c r="H375" s="187" t="s">
        <v>276</v>
      </c>
      <c r="I375" s="187">
        <v>-42372</v>
      </c>
      <c r="J375" s="187"/>
      <c r="K375" s="187"/>
      <c r="L375" s="187"/>
      <c r="M375" s="187"/>
      <c r="N375" s="187">
        <v>-42372</v>
      </c>
      <c r="O375" s="187"/>
      <c r="P375" s="187"/>
      <c r="Q375" s="187"/>
      <c r="R375" s="187"/>
      <c r="S375" s="187"/>
      <c r="T375" s="187"/>
      <c r="U375" s="187"/>
    </row>
    <row r="376" spans="1:21">
      <c r="A376" s="187" t="s">
        <v>288</v>
      </c>
      <c r="B376" s="187" t="s">
        <v>101</v>
      </c>
      <c r="C376" s="187" t="s">
        <v>321</v>
      </c>
      <c r="D376" s="187" t="s">
        <v>114</v>
      </c>
      <c r="E376" s="187" t="s">
        <v>90</v>
      </c>
      <c r="F376" s="187" t="s">
        <v>288</v>
      </c>
      <c r="G376" s="187" t="s">
        <v>318</v>
      </c>
      <c r="H376" s="187" t="s">
        <v>322</v>
      </c>
      <c r="I376" s="187">
        <v>-996294.44</v>
      </c>
      <c r="J376" s="187"/>
      <c r="K376" s="187"/>
      <c r="L376" s="187"/>
      <c r="M376" s="187"/>
      <c r="N376" s="187"/>
      <c r="O376" s="187"/>
      <c r="P376" s="187">
        <v>-996294.44</v>
      </c>
      <c r="Q376" s="187"/>
      <c r="R376" s="187"/>
      <c r="S376" s="187"/>
      <c r="T376" s="187"/>
      <c r="U376" s="187"/>
    </row>
    <row r="377" spans="1:21">
      <c r="A377" s="187" t="s">
        <v>288</v>
      </c>
      <c r="B377" s="187" t="s">
        <v>101</v>
      </c>
      <c r="C377" s="187" t="s">
        <v>362</v>
      </c>
      <c r="D377" s="187" t="s">
        <v>114</v>
      </c>
      <c r="E377" s="187" t="s">
        <v>90</v>
      </c>
      <c r="F377" s="187" t="s">
        <v>288</v>
      </c>
      <c r="G377" s="187" t="s">
        <v>363</v>
      </c>
      <c r="H377" s="187" t="s">
        <v>365</v>
      </c>
      <c r="I377" s="187">
        <v>-179849</v>
      </c>
      <c r="J377" s="187"/>
      <c r="K377" s="187"/>
      <c r="L377" s="187"/>
      <c r="M377" s="187"/>
      <c r="N377" s="187">
        <v>-179849</v>
      </c>
      <c r="O377" s="187"/>
      <c r="P377" s="187"/>
      <c r="Q377" s="187"/>
      <c r="R377" s="187"/>
      <c r="S377" s="187"/>
      <c r="T377" s="187"/>
      <c r="U377" s="187"/>
    </row>
    <row r="378" spans="1:21">
      <c r="A378" s="187" t="s">
        <v>288</v>
      </c>
      <c r="B378" s="187" t="s">
        <v>101</v>
      </c>
      <c r="C378" s="187" t="s">
        <v>309</v>
      </c>
      <c r="D378" s="187" t="s">
        <v>114</v>
      </c>
      <c r="E378" s="187" t="s">
        <v>142</v>
      </c>
      <c r="F378" s="187" t="s">
        <v>288</v>
      </c>
      <c r="G378" s="187" t="s">
        <v>310</v>
      </c>
      <c r="H378" s="187" t="s">
        <v>311</v>
      </c>
      <c r="I378" s="187">
        <v>-54480</v>
      </c>
      <c r="J378" s="187"/>
      <c r="K378" s="187"/>
      <c r="L378" s="187"/>
      <c r="M378" s="187"/>
      <c r="N378" s="187">
        <v>-54480</v>
      </c>
      <c r="O378" s="187"/>
      <c r="P378" s="187"/>
      <c r="Q378" s="187"/>
      <c r="R378" s="187"/>
      <c r="S378" s="187"/>
      <c r="T378" s="187"/>
      <c r="U378" s="187"/>
    </row>
    <row r="379" spans="1:21">
      <c r="A379" s="189" t="s">
        <v>324</v>
      </c>
      <c r="B379" s="189" t="s">
        <v>88</v>
      </c>
      <c r="C379" s="189" t="s">
        <v>371</v>
      </c>
      <c r="D379" s="189" t="s">
        <v>114</v>
      </c>
      <c r="E379" s="189" t="s">
        <v>93</v>
      </c>
      <c r="F379" s="189" t="s">
        <v>372</v>
      </c>
      <c r="G379" s="189" t="s">
        <v>373</v>
      </c>
      <c r="H379" s="189" t="s">
        <v>374</v>
      </c>
      <c r="I379" s="189">
        <v>-749250</v>
      </c>
      <c r="J379" s="189"/>
      <c r="K379" s="189"/>
      <c r="L379" s="189"/>
      <c r="M379" s="189"/>
      <c r="N379" s="189">
        <v>-749250</v>
      </c>
      <c r="O379" s="189"/>
      <c r="P379" s="189"/>
      <c r="Q379" s="189"/>
      <c r="R379" s="189"/>
      <c r="S379" s="189"/>
      <c r="T379" s="189"/>
      <c r="U379" s="189"/>
    </row>
    <row r="380" spans="1:21">
      <c r="A380" s="189" t="s">
        <v>324</v>
      </c>
      <c r="B380" s="189" t="s">
        <v>89</v>
      </c>
      <c r="C380" s="189" t="s">
        <v>323</v>
      </c>
      <c r="D380" s="189" t="s">
        <v>90</v>
      </c>
      <c r="E380" s="189" t="s">
        <v>114</v>
      </c>
      <c r="F380" s="189" t="s">
        <v>324</v>
      </c>
      <c r="G380" s="189" t="s">
        <v>325</v>
      </c>
      <c r="H380" s="189" t="s">
        <v>308</v>
      </c>
      <c r="I380" s="189">
        <v>227372.35</v>
      </c>
      <c r="J380" s="189"/>
      <c r="K380" s="189"/>
      <c r="L380" s="189"/>
      <c r="M380" s="189"/>
      <c r="N380" s="189"/>
      <c r="O380" s="189"/>
      <c r="P380" s="189">
        <v>227372.35</v>
      </c>
      <c r="Q380" s="189"/>
      <c r="R380" s="189"/>
      <c r="S380" s="189"/>
      <c r="T380" s="189"/>
      <c r="U380" s="189"/>
    </row>
    <row r="381" spans="1:21">
      <c r="A381" s="16" t="s">
        <v>324</v>
      </c>
      <c r="B381" s="16" t="s">
        <v>89</v>
      </c>
      <c r="C381" s="16" t="s">
        <v>323</v>
      </c>
      <c r="D381" s="16" t="s">
        <v>90</v>
      </c>
      <c r="E381" s="16" t="s">
        <v>114</v>
      </c>
      <c r="F381" s="16" t="s">
        <v>324</v>
      </c>
      <c r="G381" s="16" t="s">
        <v>326</v>
      </c>
      <c r="H381" s="16" t="s">
        <v>327</v>
      </c>
      <c r="I381" s="16">
        <v>202434</v>
      </c>
      <c r="N381" s="16">
        <v>202434</v>
      </c>
    </row>
    <row r="382" spans="1:21">
      <c r="A382" s="16" t="s">
        <v>372</v>
      </c>
      <c r="B382" s="16" t="s">
        <v>89</v>
      </c>
      <c r="C382" s="16" t="s">
        <v>371</v>
      </c>
      <c r="D382" s="16" t="s">
        <v>93</v>
      </c>
      <c r="E382" s="16" t="s">
        <v>114</v>
      </c>
      <c r="F382" s="16" t="s">
        <v>372</v>
      </c>
      <c r="G382" s="16" t="s">
        <v>373</v>
      </c>
      <c r="H382" s="16" t="s">
        <v>374</v>
      </c>
      <c r="I382" s="16">
        <v>749250</v>
      </c>
      <c r="N382" s="16">
        <v>749250</v>
      </c>
    </row>
  </sheetData>
  <mergeCells count="4">
    <mergeCell ref="A1:C1"/>
    <mergeCell ref="A7:H7"/>
    <mergeCell ref="A9:H9"/>
    <mergeCell ref="A249:H249"/>
  </mergeCells>
  <pageMargins left="0.7" right="0.7" top="0.75" bottom="0.75" header="0.3" footer="0.3"/>
  <pageSetup paperSize="17" scale="12"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2"/>
  <sheetViews>
    <sheetView topLeftCell="A9" zoomScaleNormal="100" workbookViewId="0">
      <selection activeCell="B20" sqref="B20"/>
    </sheetView>
  </sheetViews>
  <sheetFormatPr defaultRowHeight="14.4"/>
  <cols>
    <col min="1" max="1" width="9.109375" style="1"/>
    <col min="2" max="2" width="20.6640625" customWidth="1"/>
    <col min="3" max="3" width="37.44140625" customWidth="1"/>
    <col min="4" max="4" width="15.6640625" customWidth="1"/>
    <col min="5" max="5" width="18.33203125" customWidth="1"/>
  </cols>
  <sheetData>
    <row r="1" spans="1:10">
      <c r="A1" s="4" t="s">
        <v>13</v>
      </c>
      <c r="B1" s="214" t="s">
        <v>14</v>
      </c>
      <c r="C1" s="214"/>
      <c r="D1" s="214"/>
      <c r="E1" s="214"/>
    </row>
    <row r="2" spans="1:10" ht="81.75" customHeight="1">
      <c r="A2" s="1">
        <v>1</v>
      </c>
      <c r="B2" s="207" t="s">
        <v>16</v>
      </c>
      <c r="C2" s="207"/>
      <c r="D2" s="207"/>
      <c r="E2" s="207"/>
    </row>
    <row r="3" spans="1:10">
      <c r="B3" s="3"/>
      <c r="C3" s="3"/>
      <c r="D3" s="3"/>
      <c r="E3" s="3"/>
    </row>
    <row r="4" spans="1:10" ht="33" customHeight="1">
      <c r="A4" s="1">
        <v>2</v>
      </c>
      <c r="B4" s="207" t="s">
        <v>17</v>
      </c>
      <c r="C4" s="207"/>
      <c r="D4" s="207"/>
      <c r="E4" s="207"/>
    </row>
    <row r="5" spans="1:10">
      <c r="B5" s="3"/>
      <c r="C5" s="3"/>
      <c r="D5" s="3"/>
      <c r="E5" s="3"/>
    </row>
    <row r="6" spans="1:10">
      <c r="B6" s="3"/>
      <c r="C6" s="3"/>
      <c r="D6" s="3"/>
      <c r="E6" s="3"/>
    </row>
    <row r="7" spans="1:10" ht="30.75" customHeight="1">
      <c r="A7" s="1">
        <v>3</v>
      </c>
      <c r="B7" s="207" t="s">
        <v>259</v>
      </c>
      <c r="C7" s="207"/>
      <c r="D7" s="207"/>
      <c r="E7" s="207"/>
    </row>
    <row r="8" spans="1:10" ht="114" customHeight="1">
      <c r="A8" s="1">
        <v>3</v>
      </c>
      <c r="B8" s="208" t="s">
        <v>199</v>
      </c>
      <c r="C8" s="208"/>
      <c r="D8" s="208"/>
      <c r="E8" s="208"/>
    </row>
    <row r="9" spans="1:10">
      <c r="B9" s="3"/>
      <c r="C9" s="3"/>
      <c r="D9" s="3"/>
      <c r="E9" s="3"/>
    </row>
    <row r="10" spans="1:10" ht="18" customHeight="1">
      <c r="A10" s="1">
        <v>4</v>
      </c>
      <c r="B10" s="216" t="s">
        <v>272</v>
      </c>
      <c r="C10" s="216"/>
      <c r="D10" s="7"/>
      <c r="E10" s="7"/>
    </row>
    <row r="11" spans="1:10" ht="18" customHeight="1">
      <c r="B11" s="215" t="s">
        <v>346</v>
      </c>
      <c r="C11" s="215"/>
      <c r="D11" s="10">
        <v>23503.21</v>
      </c>
    </row>
    <row r="12" spans="1:10" ht="18" customHeight="1">
      <c r="B12" s="207" t="s">
        <v>347</v>
      </c>
      <c r="C12" s="207"/>
      <c r="D12" s="9">
        <v>-23503.21</v>
      </c>
      <c r="E12" s="150">
        <f>D12/$D$11</f>
        <v>-1</v>
      </c>
    </row>
    <row r="13" spans="1:10" ht="18" customHeight="1">
      <c r="B13" s="215" t="s">
        <v>348</v>
      </c>
      <c r="C13" s="215"/>
      <c r="D13" s="11">
        <f>93750</f>
        <v>93750</v>
      </c>
      <c r="E13" s="150">
        <f t="shared" ref="E13:E14" si="0">D13/$D$11</f>
        <v>3.9888168467200864</v>
      </c>
      <c r="J13">
        <v>125</v>
      </c>
    </row>
    <row r="14" spans="1:10" ht="31.5" customHeight="1">
      <c r="B14" s="207" t="s">
        <v>349</v>
      </c>
      <c r="C14" s="207"/>
      <c r="D14" s="8">
        <v>31250</v>
      </c>
      <c r="E14" s="150">
        <f t="shared" si="0"/>
        <v>1.3296056155733622</v>
      </c>
      <c r="J14">
        <f>J13*0.75</f>
        <v>93.75</v>
      </c>
    </row>
    <row r="15" spans="1:10" ht="36.75" customHeight="1">
      <c r="B15" s="215" t="s">
        <v>350</v>
      </c>
      <c r="C15" s="215"/>
      <c r="D15" s="12">
        <f>SUM(D13:D14)</f>
        <v>125000</v>
      </c>
      <c r="E15" s="151"/>
    </row>
    <row r="16" spans="1:10" ht="18" customHeight="1">
      <c r="B16" s="3"/>
      <c r="C16" s="3"/>
      <c r="D16" s="14"/>
    </row>
    <row r="17" spans="1:5" ht="84.75" customHeight="1">
      <c r="A17" s="1">
        <v>5</v>
      </c>
      <c r="B17" s="208" t="s">
        <v>55</v>
      </c>
      <c r="C17" s="208"/>
      <c r="D17" s="208"/>
      <c r="E17" s="208"/>
    </row>
    <row r="18" spans="1:5">
      <c r="B18" s="3"/>
      <c r="C18" s="3"/>
      <c r="D18" s="3"/>
      <c r="E18" s="3"/>
    </row>
    <row r="19" spans="1:5" ht="29.25" customHeight="1">
      <c r="A19" s="1">
        <v>6</v>
      </c>
      <c r="B19" s="217" t="s">
        <v>370</v>
      </c>
      <c r="C19" s="217"/>
      <c r="D19" s="217"/>
      <c r="E19" s="217"/>
    </row>
    <row r="20" spans="1:5">
      <c r="B20" s="3"/>
      <c r="C20" s="3"/>
      <c r="D20" s="3"/>
      <c r="E20" s="3"/>
    </row>
    <row r="21" spans="1:5" ht="33" customHeight="1">
      <c r="A21" s="1">
        <v>7</v>
      </c>
      <c r="B21" s="207" t="s">
        <v>36</v>
      </c>
      <c r="C21" s="207"/>
      <c r="D21" s="207"/>
      <c r="E21" s="207"/>
    </row>
    <row r="22" spans="1:5" ht="14.25" customHeight="1">
      <c r="B22" s="3"/>
      <c r="C22" s="3"/>
      <c r="D22" s="3"/>
      <c r="E22" s="3"/>
    </row>
    <row r="23" spans="1:5" ht="47.25" customHeight="1">
      <c r="A23" s="1">
        <v>8</v>
      </c>
      <c r="B23" s="207" t="s">
        <v>37</v>
      </c>
      <c r="C23" s="207"/>
      <c r="D23" s="207"/>
      <c r="E23" s="207"/>
    </row>
    <row r="24" spans="1:5" ht="15" customHeight="1">
      <c r="B24" s="3"/>
      <c r="C24" s="3"/>
      <c r="D24" s="3"/>
      <c r="E24" s="3"/>
    </row>
    <row r="25" spans="1:5" ht="32.25" customHeight="1">
      <c r="A25" s="1">
        <v>9</v>
      </c>
      <c r="B25" s="207" t="s">
        <v>35</v>
      </c>
      <c r="C25" s="207"/>
      <c r="D25" s="207"/>
      <c r="E25" s="207"/>
    </row>
    <row r="26" spans="1:5" ht="15" customHeight="1">
      <c r="B26" s="3"/>
      <c r="C26" s="3"/>
      <c r="D26" s="3"/>
      <c r="E26" s="3"/>
    </row>
    <row r="27" spans="1:5" ht="33" customHeight="1">
      <c r="A27" s="1">
        <v>10</v>
      </c>
      <c r="B27" s="207" t="s">
        <v>38</v>
      </c>
      <c r="C27" s="207"/>
      <c r="D27" s="207"/>
      <c r="E27" s="207"/>
    </row>
    <row r="28" spans="1:5">
      <c r="B28" s="3"/>
      <c r="C28" s="3"/>
      <c r="D28" s="3"/>
      <c r="E28" s="3"/>
    </row>
    <row r="29" spans="1:5" ht="30" customHeight="1">
      <c r="A29" s="1">
        <v>11</v>
      </c>
      <c r="B29" s="207" t="s">
        <v>39</v>
      </c>
      <c r="C29" s="207"/>
      <c r="D29" s="207"/>
      <c r="E29" s="207"/>
    </row>
    <row r="30" spans="1:5">
      <c r="B30" s="3"/>
      <c r="C30" s="3"/>
      <c r="D30" s="3"/>
      <c r="E30" s="3"/>
    </row>
    <row r="31" spans="1:5" ht="31.5" customHeight="1">
      <c r="A31" s="1">
        <v>12</v>
      </c>
      <c r="B31" s="207" t="s">
        <v>40</v>
      </c>
      <c r="C31" s="207"/>
      <c r="D31" s="207"/>
      <c r="E31" s="207"/>
    </row>
    <row r="32" spans="1:5">
      <c r="B32" s="3"/>
      <c r="C32" s="3"/>
      <c r="D32" s="3"/>
      <c r="E32" s="3"/>
    </row>
    <row r="33" spans="1:5" ht="34.5" customHeight="1">
      <c r="A33" s="1">
        <v>13</v>
      </c>
      <c r="B33" s="207" t="s">
        <v>18</v>
      </c>
      <c r="C33" s="207"/>
      <c r="D33" s="207"/>
      <c r="E33" s="207"/>
    </row>
    <row r="34" spans="1:5" ht="16.5" customHeight="1">
      <c r="B34" s="3"/>
      <c r="C34" s="3"/>
      <c r="D34" s="3"/>
      <c r="E34" s="3"/>
    </row>
    <row r="35" spans="1:5" ht="64.5" customHeight="1">
      <c r="A35" s="1">
        <v>14</v>
      </c>
      <c r="B35" s="207" t="s">
        <v>19</v>
      </c>
      <c r="C35" s="207"/>
      <c r="D35" s="207"/>
      <c r="E35" s="207"/>
    </row>
    <row r="36" spans="1:5" ht="14.25" customHeight="1">
      <c r="B36" s="3"/>
      <c r="C36" s="3"/>
      <c r="D36" s="3"/>
      <c r="E36" s="3"/>
    </row>
    <row r="37" spans="1:5">
      <c r="A37" s="1">
        <v>15</v>
      </c>
      <c r="B37" s="211" t="s">
        <v>33</v>
      </c>
      <c r="C37" s="211"/>
      <c r="D37" s="211"/>
      <c r="E37" s="211"/>
    </row>
    <row r="38" spans="1:5">
      <c r="B38" s="13" t="s">
        <v>7</v>
      </c>
      <c r="C38" s="212" t="s">
        <v>20</v>
      </c>
      <c r="D38" s="212"/>
      <c r="E38" s="212"/>
    </row>
    <row r="39" spans="1:5">
      <c r="B39" s="5" t="s">
        <v>21</v>
      </c>
      <c r="C39" s="213" t="s">
        <v>28</v>
      </c>
      <c r="D39" s="213"/>
      <c r="E39" s="213"/>
    </row>
    <row r="40" spans="1:5">
      <c r="B40" s="13" t="s">
        <v>22</v>
      </c>
      <c r="C40" s="212" t="s">
        <v>29</v>
      </c>
      <c r="D40" s="212"/>
      <c r="E40" s="212"/>
    </row>
    <row r="41" spans="1:5">
      <c r="B41" s="5" t="s">
        <v>23</v>
      </c>
      <c r="C41" s="213" t="s">
        <v>32</v>
      </c>
      <c r="D41" s="213"/>
      <c r="E41" s="213"/>
    </row>
    <row r="42" spans="1:5">
      <c r="B42" s="13" t="s">
        <v>9</v>
      </c>
      <c r="C42" s="212" t="s">
        <v>30</v>
      </c>
      <c r="D42" s="212"/>
      <c r="E42" s="212"/>
    </row>
    <row r="43" spans="1:5">
      <c r="B43" s="5" t="s">
        <v>8</v>
      </c>
      <c r="C43" s="213" t="s">
        <v>24</v>
      </c>
      <c r="D43" s="213"/>
      <c r="E43" s="213"/>
    </row>
    <row r="44" spans="1:5">
      <c r="B44" s="13" t="s">
        <v>25</v>
      </c>
      <c r="C44" s="212" t="s">
        <v>26</v>
      </c>
      <c r="D44" s="212"/>
      <c r="E44" s="212"/>
    </row>
    <row r="45" spans="1:5">
      <c r="B45" s="5" t="s">
        <v>27</v>
      </c>
      <c r="C45" s="213" t="s">
        <v>31</v>
      </c>
      <c r="D45" s="213"/>
      <c r="E45" s="213"/>
    </row>
    <row r="46" spans="1:5">
      <c r="B46" s="5"/>
      <c r="C46" s="6"/>
      <c r="D46" s="6"/>
      <c r="E46" s="6"/>
    </row>
    <row r="47" spans="1:5">
      <c r="A47" s="1">
        <v>16</v>
      </c>
      <c r="B47" s="15" t="s">
        <v>61</v>
      </c>
      <c r="C47" s="6"/>
      <c r="D47" s="6"/>
      <c r="E47" s="6"/>
    </row>
    <row r="48" spans="1:5" ht="30" customHeight="1">
      <c r="B48" s="13" t="s">
        <v>47</v>
      </c>
      <c r="C48" s="212" t="s">
        <v>63</v>
      </c>
      <c r="D48" s="212"/>
      <c r="E48" s="212"/>
    </row>
    <row r="49" spans="1:5">
      <c r="B49" s="5" t="s">
        <v>48</v>
      </c>
      <c r="C49" s="213" t="s">
        <v>62</v>
      </c>
      <c r="D49" s="213"/>
      <c r="E49" s="213"/>
    </row>
    <row r="50" spans="1:5" ht="48.75" customHeight="1">
      <c r="B50" s="13" t="s">
        <v>49</v>
      </c>
      <c r="C50" s="212" t="s">
        <v>65</v>
      </c>
      <c r="D50" s="212"/>
      <c r="E50" s="212"/>
    </row>
    <row r="51" spans="1:5" ht="29.25" customHeight="1">
      <c r="B51" s="5" t="s">
        <v>50</v>
      </c>
      <c r="C51" s="213" t="s">
        <v>64</v>
      </c>
      <c r="D51" s="213"/>
      <c r="E51" s="213"/>
    </row>
    <row r="52" spans="1:5">
      <c r="B52" s="5"/>
      <c r="C52" s="6"/>
      <c r="D52" s="6"/>
      <c r="E52" s="6"/>
    </row>
    <row r="53" spans="1:5" ht="94.5" customHeight="1">
      <c r="A53" s="1">
        <v>17</v>
      </c>
      <c r="B53" s="210" t="s">
        <v>366</v>
      </c>
      <c r="C53" s="210"/>
      <c r="D53" s="210"/>
      <c r="E53" s="210"/>
    </row>
    <row r="55" spans="1:5">
      <c r="B55" s="190"/>
    </row>
    <row r="57" spans="1:5">
      <c r="B57" s="191"/>
    </row>
    <row r="58" spans="1:5">
      <c r="B58" s="191"/>
    </row>
    <row r="60" spans="1:5">
      <c r="B60" s="2"/>
    </row>
    <row r="61" spans="1:5">
      <c r="A61" s="209" t="s">
        <v>303</v>
      </c>
      <c r="B61" s="209"/>
      <c r="C61" s="209"/>
      <c r="D61" s="209"/>
      <c r="E61" s="209"/>
    </row>
    <row r="62" spans="1:5">
      <c r="A62" s="176" t="s">
        <v>304</v>
      </c>
    </row>
  </sheetData>
  <mergeCells count="36">
    <mergeCell ref="C48:E48"/>
    <mergeCell ref="C49:E49"/>
    <mergeCell ref="C51:E51"/>
    <mergeCell ref="C50:E50"/>
    <mergeCell ref="B31:E31"/>
    <mergeCell ref="B33:E33"/>
    <mergeCell ref="B35:E35"/>
    <mergeCell ref="B25:E25"/>
    <mergeCell ref="B1:E1"/>
    <mergeCell ref="B2:E2"/>
    <mergeCell ref="B4:E4"/>
    <mergeCell ref="B17:E17"/>
    <mergeCell ref="B12:C12"/>
    <mergeCell ref="B13:C13"/>
    <mergeCell ref="B15:C15"/>
    <mergeCell ref="B14:C14"/>
    <mergeCell ref="B10:C10"/>
    <mergeCell ref="B11:C11"/>
    <mergeCell ref="B7:E7"/>
    <mergeCell ref="B19:E19"/>
    <mergeCell ref="B27:E27"/>
    <mergeCell ref="B29:E29"/>
    <mergeCell ref="B8:E8"/>
    <mergeCell ref="A61:E61"/>
    <mergeCell ref="B21:E21"/>
    <mergeCell ref="B53:E53"/>
    <mergeCell ref="B37:E37"/>
    <mergeCell ref="C38:E38"/>
    <mergeCell ref="C39:E39"/>
    <mergeCell ref="C40:E40"/>
    <mergeCell ref="C41:E41"/>
    <mergeCell ref="C42:E42"/>
    <mergeCell ref="C43:E43"/>
    <mergeCell ref="C44:E44"/>
    <mergeCell ref="C45:E45"/>
    <mergeCell ref="B23:E23"/>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6"/>
  <sheetViews>
    <sheetView workbookViewId="0">
      <selection activeCell="E10" sqref="E10"/>
    </sheetView>
  </sheetViews>
  <sheetFormatPr defaultRowHeight="14.4"/>
  <cols>
    <col min="2" max="2" width="33.5546875" customWidth="1"/>
    <col min="4" max="4" width="13.33203125" customWidth="1"/>
    <col min="5" max="5" width="9.44140625" bestFit="1" customWidth="1"/>
    <col min="6" max="6" width="13.5546875" bestFit="1" customWidth="1"/>
    <col min="7" max="7" width="9.109375"/>
    <col min="8" max="8" width="33.5546875" customWidth="1"/>
    <col min="9" max="9" width="9.109375"/>
    <col min="10" max="10" width="13.33203125" customWidth="1"/>
    <col min="11" max="11" width="9.44140625" bestFit="1" customWidth="1"/>
    <col min="12" max="12" width="13.5546875" bestFit="1" customWidth="1"/>
    <col min="13" max="13" width="9.109375"/>
    <col min="14" max="14" width="33.5546875" customWidth="1"/>
    <col min="15" max="15" width="9.109375"/>
    <col min="16" max="16" width="13.33203125" customWidth="1"/>
    <col min="17" max="17" width="9.44140625" bestFit="1" customWidth="1"/>
    <col min="18" max="18" width="13.5546875" bestFit="1" customWidth="1"/>
    <col min="19" max="19" width="9.109375"/>
    <col min="20" max="20" width="33.5546875" customWidth="1"/>
    <col min="21" max="21" width="9.109375"/>
    <col min="22" max="22" width="13.33203125" customWidth="1"/>
    <col min="23" max="23" width="9.44140625" bestFit="1" customWidth="1"/>
    <col min="24" max="24" width="13.5546875" bestFit="1" customWidth="1"/>
    <col min="26" max="26" width="41.5546875" customWidth="1"/>
    <col min="29" max="29" width="9.44140625" bestFit="1" customWidth="1"/>
    <col min="32" max="32" width="41.5546875" customWidth="1"/>
  </cols>
  <sheetData>
    <row r="1" spans="1:35" ht="15" thickBot="1">
      <c r="C1" s="218" t="s">
        <v>352</v>
      </c>
      <c r="D1" s="219"/>
      <c r="E1" s="220"/>
      <c r="I1" s="218" t="s">
        <v>317</v>
      </c>
      <c r="J1" s="219"/>
      <c r="K1" s="220"/>
      <c r="O1" s="218" t="s">
        <v>302</v>
      </c>
      <c r="P1" s="219"/>
      <c r="Q1" s="220"/>
      <c r="U1" s="218" t="s">
        <v>271</v>
      </c>
      <c r="V1" s="219"/>
      <c r="W1" s="220"/>
      <c r="AA1" s="218" t="s">
        <v>260</v>
      </c>
      <c r="AB1" s="219"/>
      <c r="AC1" s="220"/>
      <c r="AG1" s="218" t="s">
        <v>258</v>
      </c>
      <c r="AH1" s="219"/>
      <c r="AI1" s="220"/>
    </row>
    <row r="2" spans="1:35">
      <c r="A2" s="113" t="s">
        <v>245</v>
      </c>
      <c r="B2" s="114" t="s">
        <v>246</v>
      </c>
      <c r="C2" s="178" t="s">
        <v>252</v>
      </c>
      <c r="D2" s="179" t="s">
        <v>253</v>
      </c>
      <c r="E2" s="180" t="s">
        <v>10</v>
      </c>
      <c r="G2" s="113" t="s">
        <v>245</v>
      </c>
      <c r="H2" s="114" t="s">
        <v>246</v>
      </c>
      <c r="I2" s="178" t="s">
        <v>252</v>
      </c>
      <c r="J2" s="179" t="s">
        <v>253</v>
      </c>
      <c r="K2" s="180" t="s">
        <v>10</v>
      </c>
      <c r="M2" s="113" t="s">
        <v>245</v>
      </c>
      <c r="N2" s="114" t="s">
        <v>246</v>
      </c>
      <c r="O2" s="178" t="s">
        <v>252</v>
      </c>
      <c r="P2" s="179" t="s">
        <v>253</v>
      </c>
      <c r="Q2" s="180" t="s">
        <v>10</v>
      </c>
      <c r="S2" s="113" t="s">
        <v>245</v>
      </c>
      <c r="T2" s="114" t="s">
        <v>246</v>
      </c>
      <c r="U2" s="178" t="s">
        <v>252</v>
      </c>
      <c r="V2" s="179" t="s">
        <v>253</v>
      </c>
      <c r="W2" s="180" t="s">
        <v>10</v>
      </c>
      <c r="Y2" s="113" t="s">
        <v>245</v>
      </c>
      <c r="Z2" s="114" t="s">
        <v>246</v>
      </c>
      <c r="AA2" s="178" t="s">
        <v>252</v>
      </c>
      <c r="AB2" s="179" t="s">
        <v>253</v>
      </c>
      <c r="AC2" s="180" t="s">
        <v>10</v>
      </c>
      <c r="AE2" s="113" t="s">
        <v>245</v>
      </c>
      <c r="AF2" s="114" t="s">
        <v>246</v>
      </c>
      <c r="AG2" s="178" t="s">
        <v>252</v>
      </c>
      <c r="AH2" s="179" t="s">
        <v>253</v>
      </c>
      <c r="AI2" s="180" t="s">
        <v>10</v>
      </c>
    </row>
    <row r="3" spans="1:35">
      <c r="A3" s="126" t="s">
        <v>247</v>
      </c>
      <c r="B3" s="127" t="s">
        <v>248</v>
      </c>
      <c r="C3" s="126"/>
      <c r="D3" s="171">
        <v>125000</v>
      </c>
      <c r="E3" s="129">
        <f>+D3+C3</f>
        <v>125000</v>
      </c>
      <c r="G3" s="126" t="s">
        <v>247</v>
      </c>
      <c r="H3" s="127" t="s">
        <v>248</v>
      </c>
      <c r="I3" s="126"/>
      <c r="J3" s="171">
        <v>125000</v>
      </c>
      <c r="K3" s="129">
        <f>+J3+I3</f>
        <v>125000</v>
      </c>
      <c r="M3" s="126" t="s">
        <v>247</v>
      </c>
      <c r="N3" s="127" t="s">
        <v>248</v>
      </c>
      <c r="O3" s="126"/>
      <c r="P3" s="171">
        <v>125000</v>
      </c>
      <c r="Q3" s="129">
        <f>+P3+O3</f>
        <v>125000</v>
      </c>
      <c r="S3" s="126" t="s">
        <v>247</v>
      </c>
      <c r="T3" s="127" t="s">
        <v>248</v>
      </c>
      <c r="U3" s="126"/>
      <c r="V3" s="128">
        <v>125000</v>
      </c>
      <c r="W3" s="129">
        <f>+V3+U3</f>
        <v>125000</v>
      </c>
      <c r="Y3" s="126" t="s">
        <v>247</v>
      </c>
      <c r="Z3" s="127" t="s">
        <v>248</v>
      </c>
      <c r="AA3" s="126"/>
      <c r="AB3" s="128">
        <v>125000</v>
      </c>
      <c r="AC3" s="129">
        <f>+AB3+AA3</f>
        <v>125000</v>
      </c>
      <c r="AE3" s="126" t="s">
        <v>247</v>
      </c>
      <c r="AF3" s="127" t="s">
        <v>248</v>
      </c>
      <c r="AG3" s="126">
        <f>C3-I3</f>
        <v>0</v>
      </c>
      <c r="AH3" s="126">
        <f t="shared" ref="AH3:AI8" si="0">D3-J3</f>
        <v>0</v>
      </c>
      <c r="AI3" s="126">
        <f t="shared" si="0"/>
        <v>0</v>
      </c>
    </row>
    <row r="4" spans="1:35">
      <c r="A4" s="126" t="s">
        <v>247</v>
      </c>
      <c r="B4" s="127" t="s">
        <v>261</v>
      </c>
      <c r="C4" s="126"/>
      <c r="D4" s="128">
        <v>0</v>
      </c>
      <c r="E4" s="129">
        <f t="shared" ref="E4:E7" si="1">+D4+C4</f>
        <v>0</v>
      </c>
      <c r="G4" s="126" t="s">
        <v>247</v>
      </c>
      <c r="H4" s="127" t="s">
        <v>261</v>
      </c>
      <c r="I4" s="126"/>
      <c r="J4" s="128">
        <v>0</v>
      </c>
      <c r="K4" s="129">
        <f t="shared" ref="K4" si="2">+J4+I4</f>
        <v>0</v>
      </c>
      <c r="M4" s="126" t="s">
        <v>247</v>
      </c>
      <c r="N4" s="127" t="s">
        <v>261</v>
      </c>
      <c r="O4" s="126"/>
      <c r="P4" s="128">
        <v>0</v>
      </c>
      <c r="Q4" s="129">
        <f t="shared" ref="Q4" si="3">+P4+O4</f>
        <v>0</v>
      </c>
      <c r="S4" s="126" t="s">
        <v>247</v>
      </c>
      <c r="T4" s="127" t="s">
        <v>261</v>
      </c>
      <c r="U4" s="126"/>
      <c r="V4" s="128">
        <v>0</v>
      </c>
      <c r="W4" s="129">
        <f t="shared" ref="W4" si="4">+V4+U4</f>
        <v>0</v>
      </c>
      <c r="Y4" s="126" t="s">
        <v>247</v>
      </c>
      <c r="Z4" s="127" t="s">
        <v>261</v>
      </c>
      <c r="AA4" s="126"/>
      <c r="AB4" s="128">
        <v>0</v>
      </c>
      <c r="AC4" s="129">
        <f t="shared" ref="AC4:AC7" si="5">+AB4+AA4</f>
        <v>0</v>
      </c>
      <c r="AE4" s="126" t="s">
        <v>247</v>
      </c>
      <c r="AF4" s="127" t="s">
        <v>261</v>
      </c>
      <c r="AG4" s="126">
        <f t="shared" ref="AG4:AG8" si="6">C4-I4</f>
        <v>0</v>
      </c>
      <c r="AH4" s="126">
        <f t="shared" si="0"/>
        <v>0</v>
      </c>
      <c r="AI4" s="126">
        <f t="shared" si="0"/>
        <v>0</v>
      </c>
    </row>
    <row r="5" spans="1:35">
      <c r="A5" s="126" t="s">
        <v>247</v>
      </c>
      <c r="B5" s="127" t="s">
        <v>263</v>
      </c>
      <c r="C5" s="126"/>
      <c r="D5" s="171">
        <v>733322</v>
      </c>
      <c r="E5" s="129">
        <f>+D5+C5</f>
        <v>733322</v>
      </c>
      <c r="G5" s="126" t="s">
        <v>247</v>
      </c>
      <c r="H5" s="127" t="s">
        <v>263</v>
      </c>
      <c r="I5" s="126"/>
      <c r="J5" s="171">
        <v>733322</v>
      </c>
      <c r="K5" s="129">
        <f>+J5+I5</f>
        <v>733322</v>
      </c>
      <c r="M5" s="126" t="s">
        <v>247</v>
      </c>
      <c r="N5" s="127" t="s">
        <v>263</v>
      </c>
      <c r="O5" s="126"/>
      <c r="P5" s="171">
        <v>573884</v>
      </c>
      <c r="Q5" s="129">
        <f>+P5+O5</f>
        <v>573884</v>
      </c>
      <c r="S5" s="126" t="s">
        <v>247</v>
      </c>
      <c r="T5" s="127" t="s">
        <v>263</v>
      </c>
      <c r="U5" s="126"/>
      <c r="V5" s="128">
        <v>573884</v>
      </c>
      <c r="W5" s="129">
        <f>+V5+U5</f>
        <v>573884</v>
      </c>
      <c r="Y5" s="126" t="s">
        <v>247</v>
      </c>
      <c r="Z5" s="127" t="s">
        <v>263</v>
      </c>
      <c r="AA5" s="126"/>
      <c r="AB5" s="128">
        <v>573884</v>
      </c>
      <c r="AC5" s="129">
        <f>+AB5+AA5</f>
        <v>573884</v>
      </c>
      <c r="AE5" s="126" t="s">
        <v>247</v>
      </c>
      <c r="AF5" s="127" t="s">
        <v>263</v>
      </c>
      <c r="AG5" s="126">
        <f t="shared" si="6"/>
        <v>0</v>
      </c>
      <c r="AH5" s="126">
        <f t="shared" si="0"/>
        <v>0</v>
      </c>
      <c r="AI5" s="126">
        <f t="shared" si="0"/>
        <v>0</v>
      </c>
    </row>
    <row r="6" spans="1:35">
      <c r="A6" s="126" t="s">
        <v>247</v>
      </c>
      <c r="B6" s="127" t="s">
        <v>262</v>
      </c>
      <c r="C6" s="126"/>
      <c r="D6" s="128">
        <v>0</v>
      </c>
      <c r="E6" s="129">
        <f t="shared" si="1"/>
        <v>0</v>
      </c>
      <c r="G6" s="126" t="s">
        <v>247</v>
      </c>
      <c r="H6" s="127" t="s">
        <v>262</v>
      </c>
      <c r="I6" s="126"/>
      <c r="J6" s="128">
        <v>0</v>
      </c>
      <c r="K6" s="129">
        <f t="shared" ref="K6:K7" si="7">+J6+I6</f>
        <v>0</v>
      </c>
      <c r="M6" s="126" t="s">
        <v>247</v>
      </c>
      <c r="N6" s="127" t="s">
        <v>262</v>
      </c>
      <c r="O6" s="126"/>
      <c r="P6" s="128">
        <v>0</v>
      </c>
      <c r="Q6" s="129">
        <f t="shared" ref="Q6:Q7" si="8">+P6+O6</f>
        <v>0</v>
      </c>
      <c r="S6" s="126" t="s">
        <v>247</v>
      </c>
      <c r="T6" s="127" t="s">
        <v>262</v>
      </c>
      <c r="U6" s="126"/>
      <c r="V6" s="128">
        <v>0</v>
      </c>
      <c r="W6" s="129">
        <f t="shared" ref="W6:W7" si="9">+V6+U6</f>
        <v>0</v>
      </c>
      <c r="Y6" s="126" t="s">
        <v>247</v>
      </c>
      <c r="Z6" s="127" t="s">
        <v>262</v>
      </c>
      <c r="AA6" s="126"/>
      <c r="AB6" s="128">
        <v>0</v>
      </c>
      <c r="AC6" s="129">
        <f t="shared" si="5"/>
        <v>0</v>
      </c>
      <c r="AE6" s="126" t="s">
        <v>247</v>
      </c>
      <c r="AF6" s="127" t="s">
        <v>262</v>
      </c>
      <c r="AG6" s="126">
        <f t="shared" si="6"/>
        <v>0</v>
      </c>
      <c r="AH6" s="126">
        <f t="shared" si="0"/>
        <v>0</v>
      </c>
      <c r="AI6" s="126">
        <f t="shared" si="0"/>
        <v>0</v>
      </c>
    </row>
    <row r="7" spans="1:35">
      <c r="A7" s="126" t="s">
        <v>247</v>
      </c>
      <c r="B7" s="127" t="s">
        <v>249</v>
      </c>
      <c r="C7" s="126"/>
      <c r="D7" s="171">
        <v>1131835</v>
      </c>
      <c r="E7" s="129">
        <f t="shared" si="1"/>
        <v>1131835</v>
      </c>
      <c r="G7" s="126" t="s">
        <v>247</v>
      </c>
      <c r="H7" s="127" t="s">
        <v>249</v>
      </c>
      <c r="I7" s="126"/>
      <c r="J7" s="171">
        <v>1131835</v>
      </c>
      <c r="K7" s="129">
        <f t="shared" si="7"/>
        <v>1131835</v>
      </c>
      <c r="M7" s="126" t="s">
        <v>247</v>
      </c>
      <c r="N7" s="127" t="s">
        <v>249</v>
      </c>
      <c r="O7" s="126"/>
      <c r="P7" s="171">
        <v>1351671</v>
      </c>
      <c r="Q7" s="129">
        <f t="shared" si="8"/>
        <v>1351671</v>
      </c>
      <c r="S7" s="126" t="s">
        <v>247</v>
      </c>
      <c r="T7" s="127" t="s">
        <v>249</v>
      </c>
      <c r="U7" s="126"/>
      <c r="V7" s="128">
        <v>1351671</v>
      </c>
      <c r="W7" s="129">
        <f t="shared" si="9"/>
        <v>1351671</v>
      </c>
      <c r="Y7" s="126" t="s">
        <v>247</v>
      </c>
      <c r="Z7" s="127" t="s">
        <v>249</v>
      </c>
      <c r="AA7" s="126"/>
      <c r="AB7" s="128">
        <v>1351671</v>
      </c>
      <c r="AC7" s="129">
        <f t="shared" si="5"/>
        <v>1351671</v>
      </c>
      <c r="AE7" s="126" t="s">
        <v>247</v>
      </c>
      <c r="AF7" s="127" t="s">
        <v>249</v>
      </c>
      <c r="AG7" s="126">
        <f t="shared" si="6"/>
        <v>0</v>
      </c>
      <c r="AH7" s="126">
        <f t="shared" si="0"/>
        <v>0</v>
      </c>
      <c r="AI7" s="126">
        <f t="shared" si="0"/>
        <v>0</v>
      </c>
    </row>
    <row r="8" spans="1:35">
      <c r="A8" s="126"/>
      <c r="B8" s="125" t="s">
        <v>250</v>
      </c>
      <c r="C8" s="124">
        <f>SUM(C3:C7)</f>
        <v>0</v>
      </c>
      <c r="D8" s="115">
        <f>SUM(D3:D7)</f>
        <v>1990157</v>
      </c>
      <c r="E8" s="123">
        <f>SUM(E3:E7)</f>
        <v>1990157</v>
      </c>
      <c r="G8" s="126"/>
      <c r="H8" s="125" t="s">
        <v>250</v>
      </c>
      <c r="I8" s="124">
        <f>SUM(I3:I7)</f>
        <v>0</v>
      </c>
      <c r="J8" s="115">
        <f>SUM(J3:J7)</f>
        <v>1990157</v>
      </c>
      <c r="K8" s="123">
        <f>SUM(K3:K7)</f>
        <v>1990157</v>
      </c>
      <c r="M8" s="126"/>
      <c r="N8" s="125" t="s">
        <v>250</v>
      </c>
      <c r="O8" s="124">
        <f>SUM(O3:O7)</f>
        <v>0</v>
      </c>
      <c r="P8" s="115">
        <f>SUM(P3:P7)</f>
        <v>2050555</v>
      </c>
      <c r="Q8" s="123">
        <f>SUM(Q3:Q7)</f>
        <v>2050555</v>
      </c>
      <c r="S8" s="126"/>
      <c r="T8" s="125" t="s">
        <v>250</v>
      </c>
      <c r="U8" s="124">
        <f>SUM(U3:U7)</f>
        <v>0</v>
      </c>
      <c r="V8" s="115">
        <f>SUM(V3:V7)</f>
        <v>2050555</v>
      </c>
      <c r="W8" s="123">
        <f>SUM(W3:W7)</f>
        <v>2050555</v>
      </c>
      <c r="Y8" s="126"/>
      <c r="Z8" s="125" t="s">
        <v>250</v>
      </c>
      <c r="AA8" s="124">
        <f>SUM(AA3:AA7)</f>
        <v>0</v>
      </c>
      <c r="AB8" s="115">
        <f>SUM(AB3:AB7)</f>
        <v>2050555</v>
      </c>
      <c r="AC8" s="123">
        <f>SUM(AC3:AC7)</f>
        <v>2050555</v>
      </c>
      <c r="AE8" s="126"/>
      <c r="AF8" s="125" t="s">
        <v>250</v>
      </c>
      <c r="AG8" s="126">
        <f t="shared" si="6"/>
        <v>0</v>
      </c>
      <c r="AH8" s="126">
        <f t="shared" si="0"/>
        <v>0</v>
      </c>
      <c r="AI8" s="126">
        <f t="shared" si="0"/>
        <v>0</v>
      </c>
    </row>
    <row r="9" spans="1:35" ht="15" thickBot="1">
      <c r="A9" s="181"/>
      <c r="B9" s="182" t="s">
        <v>251</v>
      </c>
      <c r="C9" s="221" t="s">
        <v>254</v>
      </c>
      <c r="D9" s="222"/>
      <c r="E9" s="116">
        <f>ROUND(E8*0.949,0)</f>
        <v>1888659</v>
      </c>
      <c r="G9" s="181"/>
      <c r="H9" s="182" t="s">
        <v>251</v>
      </c>
      <c r="I9" s="221" t="s">
        <v>254</v>
      </c>
      <c r="J9" s="222"/>
      <c r="K9" s="116">
        <f>K8*0.949</f>
        <v>1888658.993</v>
      </c>
      <c r="M9" s="181"/>
      <c r="N9" s="182" t="s">
        <v>251</v>
      </c>
      <c r="O9" s="221" t="s">
        <v>254</v>
      </c>
      <c r="P9" s="222"/>
      <c r="Q9" s="116">
        <f>Q8*0.949</f>
        <v>1945976.6949999998</v>
      </c>
      <c r="S9" s="181"/>
      <c r="T9" s="182" t="s">
        <v>251</v>
      </c>
      <c r="U9" s="221" t="s">
        <v>254</v>
      </c>
      <c r="V9" s="222"/>
      <c r="W9" s="116">
        <f>W8*0.949</f>
        <v>1945976.6949999998</v>
      </c>
      <c r="Y9" s="181"/>
      <c r="Z9" s="182" t="s">
        <v>251</v>
      </c>
      <c r="AA9" s="221" t="s">
        <v>254</v>
      </c>
      <c r="AB9" s="222"/>
      <c r="AC9" s="116">
        <f>AC8*0.949</f>
        <v>1945976.6949999998</v>
      </c>
      <c r="AE9" s="181"/>
      <c r="AF9" s="182" t="s">
        <v>251</v>
      </c>
      <c r="AG9" s="221" t="s">
        <v>254</v>
      </c>
      <c r="AH9" s="222"/>
      <c r="AI9" s="116">
        <f>AI8*0.949</f>
        <v>0</v>
      </c>
    </row>
    <row r="10" spans="1:35">
      <c r="D10" t="s">
        <v>255</v>
      </c>
      <c r="J10" t="s">
        <v>255</v>
      </c>
      <c r="P10" t="s">
        <v>255</v>
      </c>
      <c r="V10" t="s">
        <v>255</v>
      </c>
    </row>
    <row r="11" spans="1:35">
      <c r="D11" s="16">
        <f>E9-'Federal Funds Transactions'!V5</f>
        <v>0</v>
      </c>
      <c r="E11" t="s">
        <v>256</v>
      </c>
      <c r="J11" s="16"/>
      <c r="P11" s="16"/>
      <c r="Q11" t="s">
        <v>256</v>
      </c>
      <c r="V11" s="16"/>
      <c r="W11" t="s">
        <v>256</v>
      </c>
    </row>
    <row r="16" spans="1:35">
      <c r="B16" s="177"/>
      <c r="H16" s="177"/>
    </row>
  </sheetData>
  <mergeCells count="12">
    <mergeCell ref="C1:E1"/>
    <mergeCell ref="C9:D9"/>
    <mergeCell ref="AA1:AC1"/>
    <mergeCell ref="AA9:AB9"/>
    <mergeCell ref="AG1:AI1"/>
    <mergeCell ref="AG9:AH9"/>
    <mergeCell ref="U1:W1"/>
    <mergeCell ref="U9:V9"/>
    <mergeCell ref="O1:Q1"/>
    <mergeCell ref="O9:P9"/>
    <mergeCell ref="I1:K1"/>
    <mergeCell ref="I9:J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2025-05-22T21:29:37Z</cp:lastPrinted>
  <dcterms:created xsi:type="dcterms:W3CDTF">2013-05-11T20:19:37Z</dcterms:created>
  <dcterms:modified xsi:type="dcterms:W3CDTF">2026-01-02T18:31:38Z</dcterms:modified>
</cp:coreProperties>
</file>