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8_{B3807B34-3B60-4014-AEFE-C49450682926}" xr6:coauthVersionLast="47" xr6:coauthVersionMax="47" xr10:uidLastSave="{00000000-0000-0000-0000-000000000000}"/>
  <bookViews>
    <workbookView xWindow="28680" yWindow="-120" windowWidth="29040" windowHeight="15720"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Transactions'!$A$1:$T$53</definedName>
    <definedName name="Query_from_MS_Access_Database" localSheetId="0" hidden="1">'Federal Funds Transactions'!$A$15:$W$27</definedName>
    <definedName name="Query_from_MS_Access_Database" localSheetId="1" hidden="1">'Regional Loans and Transfers'!$A$11:$W$74</definedName>
    <definedName name="Query_from_MS_Access_Database_1" localSheetId="0" hidden="1">'Federal Funds Transactions'!$A$32:$W$35</definedName>
    <definedName name="Query_from_MS_Access_Database_1" localSheetId="1" hidden="1">'Regional Loans and Transfers'!$A$77:$W$138</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X17" i="1"/>
  <c r="X18" i="1"/>
  <c r="X19" i="1"/>
  <c r="X20" i="1"/>
  <c r="X21" i="1"/>
  <c r="X22" i="1"/>
  <c r="X23" i="1"/>
  <c r="X24" i="1"/>
  <c r="X25" i="1"/>
  <c r="X26" i="1"/>
  <c r="X27" i="1"/>
  <c r="X33" i="1"/>
  <c r="X34" i="1"/>
  <c r="X35" i="1"/>
  <c r="J11" i="4" l="1"/>
  <c r="K10" i="4"/>
  <c r="K9" i="4"/>
  <c r="K8" i="4"/>
  <c r="K7" i="4"/>
  <c r="K6" i="4"/>
  <c r="I5" i="4"/>
  <c r="K3" i="4"/>
  <c r="Y11" i="1"/>
  <c r="Y10" i="1"/>
  <c r="Y9" i="1"/>
  <c r="Y8" i="1"/>
  <c r="Y7" i="1"/>
  <c r="Y6" i="1"/>
  <c r="W11" i="1"/>
  <c r="V11" i="1"/>
  <c r="U11" i="1"/>
  <c r="T11" i="1"/>
  <c r="S11" i="1"/>
  <c r="R11" i="1"/>
  <c r="Q11" i="1"/>
  <c r="P11" i="1"/>
  <c r="O11" i="1"/>
  <c r="N11" i="1"/>
  <c r="M11" i="1"/>
  <c r="W10" i="1"/>
  <c r="V10" i="1"/>
  <c r="U10" i="1"/>
  <c r="T10" i="1"/>
  <c r="S10" i="1"/>
  <c r="R10" i="1"/>
  <c r="Q10" i="1"/>
  <c r="P10" i="1"/>
  <c r="O10" i="1"/>
  <c r="N10" i="1"/>
  <c r="M10" i="1"/>
  <c r="W9" i="1"/>
  <c r="V9" i="1"/>
  <c r="U9" i="1"/>
  <c r="T9" i="1"/>
  <c r="S9" i="1"/>
  <c r="R9" i="1"/>
  <c r="Q9" i="1"/>
  <c r="P9" i="1"/>
  <c r="O9" i="1"/>
  <c r="N9" i="1"/>
  <c r="M9" i="1"/>
  <c r="W8" i="1"/>
  <c r="V8" i="1"/>
  <c r="U8" i="1"/>
  <c r="T8" i="1"/>
  <c r="S8" i="1"/>
  <c r="R8" i="1"/>
  <c r="Q8" i="1"/>
  <c r="P8" i="1"/>
  <c r="O8" i="1"/>
  <c r="N8" i="1"/>
  <c r="M8" i="1"/>
  <c r="W7" i="1"/>
  <c r="V7" i="1"/>
  <c r="U7" i="1"/>
  <c r="T7" i="1"/>
  <c r="S7" i="1"/>
  <c r="R7" i="1"/>
  <c r="Q7" i="1"/>
  <c r="P7" i="1"/>
  <c r="O7" i="1"/>
  <c r="N7" i="1"/>
  <c r="M7" i="1"/>
  <c r="W6" i="1"/>
  <c r="V6" i="1"/>
  <c r="U6" i="1"/>
  <c r="T6" i="1"/>
  <c r="S6" i="1"/>
  <c r="R6" i="1"/>
  <c r="Q6" i="1"/>
  <c r="P6" i="1"/>
  <c r="O6" i="1"/>
  <c r="N6" i="1"/>
  <c r="M6" i="1"/>
  <c r="I4" i="4" l="1"/>
  <c r="C4" i="4" s="1"/>
  <c r="C5" i="4"/>
  <c r="I11" i="4"/>
  <c r="K5" i="4"/>
  <c r="K4" i="4" l="1"/>
  <c r="K11" i="4" s="1"/>
  <c r="K12" i="4" s="1"/>
  <c r="I15" i="4" s="1"/>
  <c r="AK42" i="1"/>
  <c r="AH10" i="4" l="1"/>
  <c r="AH8" i="4"/>
  <c r="AH4" i="4"/>
  <c r="AH5" i="4"/>
  <c r="AH6" i="4"/>
  <c r="AH7" i="4"/>
  <c r="AH9" i="4"/>
  <c r="AH3" i="4"/>
  <c r="AG5" i="4"/>
  <c r="AI5" i="4" s="1"/>
  <c r="AG6" i="4"/>
  <c r="AI6" i="4" s="1"/>
  <c r="AG7" i="4"/>
  <c r="AI7" i="4" s="1"/>
  <c r="AG8" i="4"/>
  <c r="AI8" i="4" s="1"/>
  <c r="AG9" i="4"/>
  <c r="AG10" i="4"/>
  <c r="AI10" i="4" s="1"/>
  <c r="AG3" i="4"/>
  <c r="P11" i="4"/>
  <c r="Q10" i="4"/>
  <c r="Q9" i="4"/>
  <c r="Q8" i="4"/>
  <c r="Q7" i="4"/>
  <c r="Q6" i="4"/>
  <c r="Q5" i="4"/>
  <c r="O4" i="4"/>
  <c r="Q4" i="4" s="1"/>
  <c r="Q3" i="4"/>
  <c r="AI3" i="4" l="1"/>
  <c r="O11" i="4"/>
  <c r="AG4" i="4"/>
  <c r="AI4" i="4" s="1"/>
  <c r="Q11" i="4"/>
  <c r="Q12" i="4" s="1"/>
  <c r="AI9" i="4"/>
  <c r="AI11" i="4"/>
  <c r="AI12" i="4" s="1"/>
  <c r="V11" i="4"/>
  <c r="U11" i="4"/>
  <c r="W10" i="4"/>
  <c r="W9" i="4"/>
  <c r="W8" i="4"/>
  <c r="W7" i="4"/>
  <c r="W6" i="4"/>
  <c r="W5" i="4"/>
  <c r="W4" i="4"/>
  <c r="W3" i="4"/>
  <c r="W11" i="4" l="1"/>
  <c r="W12" i="4" s="1"/>
  <c r="U15" i="4" s="1"/>
  <c r="O5" i="1"/>
  <c r="P5" i="1"/>
  <c r="Q5" i="1"/>
  <c r="R5" i="1"/>
  <c r="S5" i="1"/>
  <c r="T5" i="1"/>
  <c r="U5" i="1"/>
  <c r="W5" i="1"/>
  <c r="X4" i="1"/>
  <c r="D12" i="2"/>
  <c r="E11" i="2"/>
  <c r="AC10" i="4"/>
  <c r="AC5" i="4"/>
  <c r="AC6" i="4"/>
  <c r="AC7" i="4"/>
  <c r="AC8" i="4"/>
  <c r="AC9" i="4"/>
  <c r="N42" i="1"/>
  <c r="O42" i="1"/>
  <c r="P42" i="1"/>
  <c r="Q42" i="1"/>
  <c r="R42" i="1"/>
  <c r="S42" i="1"/>
  <c r="T42" i="1"/>
  <c r="U42" i="1"/>
  <c r="V42" i="1"/>
  <c r="M42" i="1"/>
  <c r="W42" i="1"/>
  <c r="W51" i="1"/>
  <c r="V51" i="1"/>
  <c r="U51" i="1"/>
  <c r="T51" i="1"/>
  <c r="S51" i="1"/>
  <c r="R51" i="1"/>
  <c r="Q51" i="1"/>
  <c r="P51" i="1"/>
  <c r="O51" i="1"/>
  <c r="N51" i="1"/>
  <c r="M51" i="1"/>
  <c r="P28" i="1"/>
  <c r="Q28" i="1"/>
  <c r="R28" i="1"/>
  <c r="S28" i="1"/>
  <c r="T28" i="1"/>
  <c r="U28" i="1"/>
  <c r="V28" i="1"/>
  <c r="W28" i="1"/>
  <c r="O28" i="1"/>
  <c r="N28" i="1"/>
  <c r="M28" i="1"/>
  <c r="E5" i="4"/>
  <c r="E6" i="4"/>
  <c r="E7" i="4"/>
  <c r="E8" i="4"/>
  <c r="E9" i="4"/>
  <c r="E10" i="4"/>
  <c r="D11" i="4"/>
  <c r="AH11" i="4" s="1"/>
  <c r="C11" i="4"/>
  <c r="AG11" i="4" s="1"/>
  <c r="AB11" i="4"/>
  <c r="AA11" i="4"/>
  <c r="AC4" i="4"/>
  <c r="AC3" i="4"/>
  <c r="E4" i="4"/>
  <c r="E3" i="4"/>
  <c r="Y51" i="1"/>
  <c r="B5" i="3"/>
  <c r="A7" i="3"/>
  <c r="A1" i="3"/>
  <c r="AC11" i="4" l="1"/>
  <c r="AC12" i="4" s="1"/>
  <c r="D13" i="2"/>
  <c r="E13" i="2" s="1"/>
  <c r="E12" i="2"/>
  <c r="E11" i="4"/>
  <c r="E12" i="4" s="1"/>
  <c r="X9" i="1"/>
  <c r="X5" i="1"/>
  <c r="Y5" i="1" s="1"/>
  <c r="W12" i="1"/>
  <c r="W29" i="1" s="1"/>
  <c r="W43" i="1" s="1"/>
  <c r="W50" i="1" s="1"/>
  <c r="W52" i="1" s="1"/>
  <c r="Q12" i="1"/>
  <c r="Q29" i="1" s="1"/>
  <c r="Q43" i="1" s="1"/>
  <c r="Q50" i="1" s="1"/>
  <c r="Q52" i="1" s="1"/>
  <c r="Q53" i="1" s="1"/>
  <c r="X10" i="1"/>
  <c r="N12" i="1"/>
  <c r="N29" i="1" s="1"/>
  <c r="N43" i="1" s="1"/>
  <c r="N50" i="1" s="1"/>
  <c r="N52" i="1" s="1"/>
  <c r="N53" i="1" s="1"/>
  <c r="R12" i="1"/>
  <c r="R29" i="1" s="1"/>
  <c r="R43" i="1" s="1"/>
  <c r="R50" i="1" s="1"/>
  <c r="R52" i="1" s="1"/>
  <c r="R53" i="1" s="1"/>
  <c r="V12" i="1"/>
  <c r="V29" i="1" s="1"/>
  <c r="V43" i="1" s="1"/>
  <c r="V50" i="1" s="1"/>
  <c r="V52" i="1" s="1"/>
  <c r="V53" i="1" s="1"/>
  <c r="O12" i="1"/>
  <c r="O29" i="1" s="1"/>
  <c r="O43" i="1" s="1"/>
  <c r="O50" i="1" s="1"/>
  <c r="O52" i="1" s="1"/>
  <c r="O53" i="1" s="1"/>
  <c r="S12" i="1"/>
  <c r="S29" i="1" s="1"/>
  <c r="S43" i="1" s="1"/>
  <c r="S50" i="1" s="1"/>
  <c r="S52" i="1" s="1"/>
  <c r="S53" i="1" s="1"/>
  <c r="X7" i="1"/>
  <c r="X51" i="1"/>
  <c r="P12" i="1"/>
  <c r="P29" i="1" s="1"/>
  <c r="P43" i="1" s="1"/>
  <c r="P50" i="1" s="1"/>
  <c r="P52" i="1" s="1"/>
  <c r="P53" i="1" s="1"/>
  <c r="T12" i="1"/>
  <c r="T29" i="1" s="1"/>
  <c r="T43" i="1" s="1"/>
  <c r="T50" i="1" s="1"/>
  <c r="T52" i="1" s="1"/>
  <c r="T53" i="1" s="1"/>
  <c r="U12" i="1"/>
  <c r="U29" i="1" s="1"/>
  <c r="U43" i="1" s="1"/>
  <c r="U50" i="1" s="1"/>
  <c r="U52" i="1" s="1"/>
  <c r="U53" i="1" s="1"/>
  <c r="X6" i="1"/>
  <c r="X8" i="1"/>
  <c r="V44" i="1"/>
  <c r="X11" i="1"/>
  <c r="M12" i="1"/>
  <c r="M29" i="1" s="1"/>
  <c r="M43" i="1" s="1"/>
  <c r="M50" i="1" s="1"/>
  <c r="M52" i="1" s="1"/>
  <c r="M53" i="1" s="1"/>
  <c r="R44" i="1"/>
  <c r="N44" i="1"/>
  <c r="O44" i="1"/>
  <c r="U44" i="1"/>
  <c r="T44" i="1"/>
  <c r="P44" i="1"/>
  <c r="W44" i="1"/>
  <c r="M44" i="1"/>
  <c r="S44" i="1"/>
  <c r="Q44" i="1"/>
  <c r="X42" i="1"/>
  <c r="X28" i="1"/>
  <c r="D14" i="2" l="1"/>
  <c r="C15" i="4"/>
  <c r="Y12" i="1"/>
  <c r="X12" i="1"/>
  <c r="X29" i="1" s="1"/>
  <c r="X43" i="1" s="1"/>
  <c r="X53" i="1"/>
  <c r="X50" i="1"/>
  <c r="X52" i="1" s="1"/>
  <c r="X44" i="1"/>
  <c r="Y33" i="1"/>
  <c r="Y16" i="1"/>
  <c r="Y17" i="1" s="1"/>
  <c r="Y18" i="1" s="1"/>
  <c r="Y34" i="1"/>
  <c r="Y35" i="1"/>
  <c r="Y50" i="1" l="1"/>
  <c r="Y52" i="1" s="1"/>
  <c r="Y19" i="1"/>
  <c r="Y20" i="1"/>
  <c r="Y21" i="1"/>
  <c r="Y22" i="1" s="1"/>
  <c r="Y23" i="1"/>
  <c r="Y24" i="1"/>
  <c r="Y25" i="1" s="1"/>
  <c r="Y26" i="1"/>
  <c r="Y27"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02-CYMPO LEDGER`.`ADOT#`, `02-CYMPO LEDGER`.`TIP#`, `02-CYMPO LEDGER`.Sponsor, `02-CYMPO LEDGER`.`Action/15`, `02-CYMPO LEDGER`.Location, `02-CYMPO LEDGER`.RTE, `02-CYMPO LEDGER`.SEC, `02-CYMPO LEDGER`.SEQ, `02-CYMPO LEDGER`.`PB Expected`, `02-CYMPO LEDGER`.`PB Received`, `02-CYMPO LEDGER`.`PF Transmitted`, `02-CYMPO LEDGER`.`Finance Authorization`, `02-CYMPO LEDGER`.`HURF EXCHANGE` as `HURF EX`, `02-CYMPO LEDGER`.HSIP, `02-CYMPO LEDGER`.PL,`02-CYMPO LEDGER`.`PL-SATO`, `02-CYMPO LEDGER`.SPR, `02-CYMPO LEDGER`.`STP &lt;5`, `02-CYMPO LEDGER`.`STP 5-200`,`02-CYMPO LEDGER`.`STP 5-50`,`02-CYMPO LEDGER`.`STP 50-200`,  `02-CYMPO LEDGER`.`STP OTHER`,`02-CYMPO LEDGER`.`CRP 50-200`_x000d__x000a_FROM `G:\FMS\RESOURCE\ACCESS\010614 PBPF\011614 PBPF front.accdb`.`02-CYMPO LEDGER` `02-CYMPO LEDGER`_x000d__x000a_WHERE (`02-CYMPO LEDGER`.`ADOT#`&lt;&gt;'Trick') AND (`02-CYMPO LEDGER`.`Finance Authorization`&gt;=#10/1/2025# AND `02-CYMPO LEDGER`.`Finance Authorization`&lt;=#9/30/2026#)_x000d__x000a_ORDER BY `02-CYMPO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02-CYMPOqryLedgerApportsCrosstab`.`Transaction Year`, `02-CYMPOqryLedgerApportsCrosstab`.`Transaction Type`, `02-CYMPOqryLedgerApportsCrosstab`.Number, `02-CYMPOqryLedgerApportsCrosstab`.`From`, `02-CYMPOqryLedgerApportsCrosstab`.To, `02-CYMPOqryLedgerApportsCrosstab`.`Repayment Year`, `02-CYMPOqryLedgerApportsCrosstab`.Project8, `02-CYMPOqryLedgerApportsCrosstab`.Notes, `02-CYMPOqryLedgerApportsCrosstab`.Total, `02-CYMPOqryLedgerApportsCrosstab`.`HURF EXCHANGE`, `02-CYMPOqryLedgerApportsCrosstab`.HSIP, `02-CYMPOqryLedgerApportsCrosstab`.PLAN, `02-CYMPOqryLedgerApportsCrosstab`.`PLAN SATO`, `02-CYMPOqryLedgerApportsCrosstab`.SPR, `02-CYMPOqryLedgerApportsCrosstab`.`STP &lt;5`, `02-CYMPOqryLedgerApportsCrosstab`.`STP 5-2`, `02-CYMPOqryLedgerApportsCrosstab`.`STP 5-50`,`02-CYMPOqryLedgerApportsCrosstab`.`STP 50-200`, `02-CYMPOqryLedgerApportsCrosstab`.`STP Flex`, `02-CYMPOqryLedgerApportsCrosstab`.`TAP &lt;5`, `02-CYMPOqryLedgerApportsCrosstab`.`TAP 5-2`, `02-CYMPOqryLedgerApportsCrosstab`.`TAP Flex`,`02-CYMPOqryLedgerApportsCrosstab`.`CRP 50-200`_x000d__x000a_FROM `G:\FMS\RESOURCE\ACCESS\010614 PBPF\011614 PBPF front.accdb`.`02-CYMPOqryLedgerApportsCrosstab` `02-CYMPOqryLedgerApportsCrosstab`_x000d__x000a_WHERE (`02-CYMPO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02-CYMPOqryLedgerOACrosstab`.`Transaction Year`, `02-CYMPOqryLedgerOACrosstab`.`Transaction Type`, `02-CYMPOqryLedgerOACrosstab`.Number, `02-CYMPOqryLedgerOACrosstab`.`From`, `02-CYMPOqryLedgerOACrosstab`.To, `02-CYMPOqryLedgerOACrosstab`.`Repayment Year`, `02-CYMPOqryLedgerOACrosstab`.Project8, `02-CYMPOqryLedgerOACrosstab`.Notes, `02-CYMPOqryLedgerOACrosstab`.Total, `02-CYMPOqryLedgerOACrosstab`.`HURF EXCHANGE`, `02-CYMPOqryLedgerOACrosstab`.HSIP, `02-CYMPOqryLedgerOACrosstab`.PLAN, `02-CYMPOqryLedgerOACrosstab`.`PLAN SATO`,`02-CYMPOqryLedgerOACrosstab`.SPR, `02-CYMPOqryLedgerOACrosstab`.`STP &lt;5`, `02-CYMPOqryLedgerOACrosstab`.`STP 5-2`,`02-CYMPOqryLedgerOACrosstab`.`STP 5-50`, `02-CYMPOqryLedgerOACrosstab`.`STP 50-200`, `02-CYMPOqryLedgerOACrosstab`.`STP Flex`, `02-CYMPOqryLedgerOACrosstab`.`TAP &lt;5`, `02-CYMPOqryLedgerOACrosstab`.`TAP 5-2`, `02-CYMPOqryLedgerOACrosstab`.`TAP Flex`, `02-CYMPOqryLedgerOACrosstab`.`CRP 50-200`_x000d__x000a_FROM `G:\FMS\RESOURCE\ACCESS\010614 PBPF\011614 PBPF front.accdb`.`02-CYMPOqryLedgerOACrosstab` `02-CYMPOqryLedgerOACrosstab`_x000d__x000a_WHERE (`02-CYMPO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02-CYMPO LEDGER`.`ADOT#`, `02-CYMPO LEDGER`.`TIP#`, `02-CYMPO LEDGER`.Sponsor, `02-CYMPO LEDGER`.`Action/15`, `02-CYMPO LEDGER`.Location, `02-CYMPO LEDGER`.RTE, `02-CYMPO LEDGER`.SEC, `02-CYMPO LEDGER`.SEQ, `02-CYMPO LEDGER`.`PB Expected`, `02-CYMPO LEDGER`.`PB Received`, `02-CYMPO LEDGER`.`PF Transmitted`, `02-CYMPO LEDGER`.`Finance Authorization`, `02-CYMPO LEDGER`.`HURF EXCHANGE` as `HURF EX`, `02-CYMPO LEDGER`.HSIP, `02-CYMPO LEDGER`.PL,`02-CYMPO LEDGER`.`PL-SATO`,  `02-CYMPO LEDGER`.SPR, `02-CYMPO LEDGER`.`STP &lt;5`, `02-CYMPO LEDGER`.`STP 5-200`,`02-CYMPO LEDGER`.`STP 5-50`,`02-CYMPO LEDGER`.`STP 50-200`,  `02-CYMPO LEDGER`.`STP OTHER`,`02-CYMPO LEDGER`.`CRP 50-200`_x000d__x000a_FROM `G:\FMS\RESOURCE\ACCESS\010614 PBPF\011614 PBPF front.accdb`.`02-CYMPO LEDGER` `02-CYMPO LEDGER`_x000d__x000a_WHERE (`02-CYMPO LEDGER`.`ADOT#` Not Like 'Trick') AND (`02-CYMPO LEDGER`.`Finance Authorization` Is Null) AND ((`02-CYMPO LEDGER`.`PB Expected`&gt;=#10/1/25# and `PB Expected`&lt;=#9/30/2026#) OR (`02-CYMPO LEDGER`.`PB Received`&gt;=#10/1/2025# and `PB Received`&lt;=#9/30/2026#) OR (`02-CYMPO LEDGER`.`PF Transmitted`&gt;=#10/1/2025# and `PF Transmitted`&lt;=#9/30/2026#))_x000d__x000a_ORDER BY `02-CYMPO LEDGER`.`ADOT#`"/>
  </connection>
</connections>
</file>

<file path=xl/sharedStrings.xml><?xml version="1.0" encoding="utf-8"?>
<sst xmlns="http://schemas.openxmlformats.org/spreadsheetml/2006/main" count="1472" uniqueCount="311">
  <si>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</si>
  <si>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</si>
  <si>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</si>
  <si>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</si>
  <si>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</si>
  <si>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</si>
  <si>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</si>
  <si>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</si>
  <si>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</si>
  <si>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</si>
  <si>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</si>
  <si>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</si>
  <si>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</si>
  <si>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</si>
  <si>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</si>
  <si>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</si>
  <si>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</si>
  <si>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</si>
  <si>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</si>
  <si>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</si>
  <si>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</si>
  <si>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</si>
  <si>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</si>
  <si>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</si>
  <si>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</si>
  <si>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</si>
  <si>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</si>
  <si>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</si>
  <si>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</si>
  <si>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</si>
  <si>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</si>
  <si>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</si>
  <si>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</si>
  <si>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</si>
  <si>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</si>
  <si>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</si>
  <si>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</si>
  <si>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</si>
  <si>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</si>
  <si>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</si>
  <si>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PL</t>
  </si>
  <si>
    <t>Transaction Year</t>
  </si>
  <si>
    <t>Transaction Type</t>
  </si>
  <si>
    <t>Repayment Year</t>
  </si>
  <si>
    <t>RTE</t>
  </si>
  <si>
    <t>SEC</t>
  </si>
  <si>
    <t>SEQ</t>
  </si>
  <si>
    <t>PB Expected</t>
  </si>
  <si>
    <t>PB Received</t>
  </si>
  <si>
    <t>PF Transmitted</t>
  </si>
  <si>
    <t>Finance Authorization</t>
  </si>
  <si>
    <t>STP OTHER</t>
  </si>
  <si>
    <t>TOTAL</t>
  </si>
  <si>
    <t>SPR /4</t>
  </si>
  <si>
    <t>All OA and apportionments lapse annually on June 30th with the exception of apportionments for CMAQ, TA, and STP over 200K in MAG and PAG. Also exempt from lapsing are SPR apportionments associated with an approved work program for the following state fiscal year. For this purpose, 25% of the annual SPR allocation will be available for obligation between July 1 and September 1. The remaining 75% is available between October 1 and June 30.  See Note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</si>
  <si>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</si>
  <si>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</si>
  <si>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</si>
  <si>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</si>
  <si>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</si>
  <si>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</si>
  <si>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</si>
  <si>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</si>
  <si>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</si>
  <si>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</si>
  <si>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</si>
  <si>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</si>
  <si>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</si>
  <si>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</si>
  <si>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</si>
  <si>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</si>
  <si>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</si>
  <si>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</si>
  <si>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</si>
  <si>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</si>
  <si>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</si>
  <si>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</si>
  <si>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</si>
  <si>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</si>
  <si>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</si>
  <si>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t>TOTAL OF AMOUNT</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</si>
  <si>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</si>
  <si>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</si>
  <si>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</si>
  <si>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</si>
  <si>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</si>
  <si>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Loan Out</t>
  </si>
  <si>
    <t>Repayment In</t>
  </si>
  <si>
    <t>ADOT</t>
  </si>
  <si>
    <t>2014</t>
  </si>
  <si>
    <t>2019</t>
  </si>
  <si>
    <t>2016</t>
  </si>
  <si>
    <t>2015</t>
  </si>
  <si>
    <t>Current FFY
Apportionments /5</t>
  </si>
  <si>
    <t>Lapsing</t>
  </si>
  <si>
    <t>2017</t>
  </si>
  <si>
    <t>2018</t>
  </si>
  <si>
    <t>STP &lt;5</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</si>
  <si>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</si>
  <si>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</si>
  <si>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</si>
  <si>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</si>
  <si>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FMPO</t>
  </si>
  <si>
    <t>Regional Safety Plan</t>
  </si>
  <si>
    <t>Central Yavapai Metropolitan Planning Organization</t>
  </si>
  <si>
    <t>2012</t>
  </si>
  <si>
    <t>CYMPO-L001</t>
  </si>
  <si>
    <t>CYMPO</t>
  </si>
  <si>
    <t>2013</t>
  </si>
  <si>
    <t>SH476</t>
  </si>
  <si>
    <t>HSIP Loan to ADOT</t>
  </si>
  <si>
    <t>CYMPO-T001</t>
  </si>
  <si>
    <t>H803901C</t>
  </si>
  <si>
    <t>To ADOT</t>
  </si>
  <si>
    <t>Repayment from ADOT for 2012 HSIP Loan</t>
  </si>
  <si>
    <t>CYMPO-T002</t>
  </si>
  <si>
    <t>CYMPO-LP01</t>
  </si>
  <si>
    <t>CYMPO LAPSING FUNDS - FFY14</t>
  </si>
  <si>
    <t>Loan In</t>
  </si>
  <si>
    <t>NACOG14-L002</t>
  </si>
  <si>
    <t>NACOG</t>
  </si>
  <si>
    <t>2014 LOAN FROM NACOG TO CYMPO FOR SIGN REPLACEMENT</t>
  </si>
  <si>
    <t>CYMPO-T003</t>
  </si>
  <si>
    <t>Repayment Out</t>
  </si>
  <si>
    <t>2015 REPAYMENT FROM CYMPO TO NACOG FOR SIGN REPLACEMENT</t>
  </si>
  <si>
    <t>CYMPO -T004</t>
  </si>
  <si>
    <t>to ADOT</t>
  </si>
  <si>
    <t>FMPO15-L001</t>
  </si>
  <si>
    <t>FMPO HSIP Loan to CYMPO</t>
  </si>
  <si>
    <t>CYMPO16-L001</t>
  </si>
  <si>
    <t>SR89A Corridor Plan</t>
  </si>
  <si>
    <t>CYMPO STP Loan to ADOT</t>
  </si>
  <si>
    <t>CYMPO-16L2</t>
  </si>
  <si>
    <t>CYMPO PL Loan to ADOT</t>
  </si>
  <si>
    <t>CYMPO-16L3</t>
  </si>
  <si>
    <t>CYMPO HSIP Loan to ADOT</t>
  </si>
  <si>
    <t>CYMPO16-T001</t>
  </si>
  <si>
    <t>H833001C</t>
  </si>
  <si>
    <t>CYMPO STP Transfer to ADOT</t>
  </si>
  <si>
    <t>NACOGCYMPO-17</t>
  </si>
  <si>
    <t>Toltec Rd</t>
  </si>
  <si>
    <t>NACOG STP Loan to CYMPO</t>
  </si>
  <si>
    <t>CYMPOADOT-17L1</t>
  </si>
  <si>
    <t>PCY1806P</t>
  </si>
  <si>
    <t>CYMPO SPR Loan to ADOT</t>
  </si>
  <si>
    <t>CYMPOADOT-17L2</t>
  </si>
  <si>
    <t>CY-MPO-16-09</t>
  </si>
  <si>
    <t>Regional Signs</t>
  </si>
  <si>
    <t>CYMPOADOT-17L3</t>
  </si>
  <si>
    <t>SR69 Design</t>
  </si>
  <si>
    <t>CYMPO17-T001</t>
  </si>
  <si>
    <t>SL68001C</t>
  </si>
  <si>
    <t>CYMPO HSIP OA Transfer to ADOT</t>
  </si>
  <si>
    <t>CYMPOADOT-17T1</t>
  </si>
  <si>
    <t>CYMPONACOG-17T1</t>
  </si>
  <si>
    <t>CYMPO HSIP transfer to NACOG</t>
  </si>
  <si>
    <t>CYMPO18-T001</t>
  </si>
  <si>
    <t>H851801C</t>
  </si>
  <si>
    <t>PLAN</t>
  </si>
  <si>
    <t>TAP &lt;5</t>
  </si>
  <si>
    <t>TAP 5-2</t>
  </si>
  <si>
    <t>HURF EX</t>
  </si>
  <si>
    <t>STP 5-200</t>
  </si>
  <si>
    <r>
      <t xml:space="preserve">Available HSIP funding should be programmed </t>
    </r>
    <r>
      <rPr>
        <b/>
        <i/>
        <strike/>
        <sz val="11"/>
        <color theme="1"/>
        <rFont val="Calibri"/>
        <family val="2"/>
        <scheme val="minor"/>
      </rPr>
      <t>only</t>
    </r>
    <r>
      <rPr>
        <strike/>
        <sz val="11"/>
        <color theme="1"/>
        <rFont val="Calibri"/>
        <family val="2"/>
        <scheme val="minor"/>
      </rPr>
      <t xml:space="preserve"> for projects which have already met all of the following criteria: 
1) HSIP eligibility has been approved by ADOT and FHWA;  
2) An approved application is on file with ADOT by September 1 of the year prior to obligation; AND
3) The project is fully funded in the year of authorization (i.e. federal aid cannot be programmed across multiple years).
Unobligated HSIP apportionments and OA expire on June 30th each year and are not carried forward. 
</t>
    </r>
  </si>
  <si>
    <t>T022001C</t>
  </si>
  <si>
    <t>SVMPOCYMPO-19L1</t>
  </si>
  <si>
    <t>SVMPO</t>
  </si>
  <si>
    <t>2020</t>
  </si>
  <si>
    <t>DDPE</t>
  </si>
  <si>
    <t>SVMPO STBGP Loan to CYMPO</t>
  </si>
  <si>
    <t>Transfer In</t>
  </si>
  <si>
    <t>ADOTCYMPO-19T1</t>
  </si>
  <si>
    <t>ADOT HURF EX Transfer to CYMPO</t>
  </si>
  <si>
    <t>CYMPOADOT-19L1</t>
  </si>
  <si>
    <t>2023</t>
  </si>
  <si>
    <t>LITTLERANCH RD</t>
  </si>
  <si>
    <t xml:space="preserve"> </t>
  </si>
  <si>
    <t>CYMPOADOT-20L1</t>
  </si>
  <si>
    <t>2021</t>
  </si>
  <si>
    <t>SR89A at Road 1N Traffic Signal</t>
  </si>
  <si>
    <t>CYMPO STBGP Loan to ADOT</t>
  </si>
  <si>
    <t>CYMPOADOT-21L1</t>
  </si>
  <si>
    <t>2022</t>
  </si>
  <si>
    <t>CYM</t>
  </si>
  <si>
    <t>S</t>
  </si>
  <si>
    <t>0</t>
  </si>
  <si>
    <t>TBD</t>
  </si>
  <si>
    <t>Future HSIP</t>
  </si>
  <si>
    <t>2024</t>
  </si>
  <si>
    <t>ADOTCYMPO-19L2</t>
  </si>
  <si>
    <t>ADOT STBG Loan to CYMPO</t>
  </si>
  <si>
    <t>OA Ratio (OA/apportionments) /1</t>
  </si>
  <si>
    <t>Fund Type</t>
  </si>
  <si>
    <t xml:space="preserve">Program Category </t>
  </si>
  <si>
    <t>Formula</t>
  </si>
  <si>
    <t xml:space="preserve">SPR (Planning) </t>
  </si>
  <si>
    <t xml:space="preserve">Metropolitan Planning </t>
  </si>
  <si>
    <t>Total Formula Apportionments</t>
  </si>
  <si>
    <t>Total Formula OA (@94.9%)</t>
  </si>
  <si>
    <t>Statutory</t>
  </si>
  <si>
    <t>Disc</t>
  </si>
  <si>
    <t>CYMPO OA</t>
  </si>
  <si>
    <t>check</t>
  </si>
  <si>
    <t>rounding</t>
  </si>
  <si>
    <t>CYMPO Change</t>
  </si>
  <si>
    <t>HSIP is now managed as a competitive program by ADOT.   However,  HSIP funding released off of  projects that were funded from the ledger will be released back onto the ledger.</t>
  </si>
  <si>
    <t>CYMPO FFY22</t>
  </si>
  <si>
    <t>CYMPOADOT-22L1</t>
  </si>
  <si>
    <t>CYMPO CRP Loan to ADOT</t>
  </si>
  <si>
    <t>PL-SATO</t>
  </si>
  <si>
    <t>STP 5-50</t>
  </si>
  <si>
    <t>STP 50-200</t>
  </si>
  <si>
    <t>CRP 50-200</t>
  </si>
  <si>
    <t>HURF EXCHANGE</t>
  </si>
  <si>
    <t>PLAN SATO</t>
  </si>
  <si>
    <t>STP Flex</t>
  </si>
  <si>
    <t>TAP Flex</t>
  </si>
  <si>
    <t>STP 5K - 200K</t>
  </si>
  <si>
    <t>STP 5K - 50K</t>
  </si>
  <si>
    <t>STP 50K - 200K</t>
  </si>
  <si>
    <t>STP &lt; 5K</t>
  </si>
  <si>
    <t>CRP 50K - 200K</t>
  </si>
  <si>
    <t>DECLINING BALANCE OF OA</t>
  </si>
  <si>
    <t>Total Expected</t>
  </si>
  <si>
    <t>Loan CRP for use of future projects</t>
  </si>
  <si>
    <t>CYMPO FFY23</t>
  </si>
  <si>
    <t>SPR (State Planning &amp; Research) apportionment availability for approved work program</t>
  </si>
  <si>
    <t>NOT YET AUTHORIZED/1</t>
  </si>
  <si>
    <t>N/A</t>
  </si>
  <si>
    <t>T</t>
  </si>
  <si>
    <t>NACOGCYMPO-23T1</t>
  </si>
  <si>
    <t>Participation in Boundary Study</t>
  </si>
  <si>
    <t>NACOG SPR Transfer to CYMPO</t>
  </si>
  <si>
    <t>CYMPOADOT-23L1</t>
  </si>
  <si>
    <t>Loan from FY23 to FY24</t>
  </si>
  <si>
    <t>CYMPO Loan to ADOT</t>
  </si>
  <si>
    <t>026</t>
  </si>
  <si>
    <t>CYMPO FFY24</t>
  </si>
  <si>
    <t>P</t>
  </si>
  <si>
    <t>PCY2602P</t>
  </si>
  <si>
    <t>CYMPOADOT-24L1</t>
  </si>
  <si>
    <t>2025</t>
  </si>
  <si>
    <t>SR89 DCR &amp; Wildlife Corridor Study</t>
  </si>
  <si>
    <t>CYMPO STP &lt;5L Loan to ADOT</t>
  </si>
  <si>
    <t>CYMPOADOT-24L2</t>
  </si>
  <si>
    <t>Conservation Plan and Regional Trails Plan</t>
  </si>
  <si>
    <t>CYMPO CRP 50-200K Loan to ADOT</t>
  </si>
  <si>
    <t>CYMPOADOT-24L3</t>
  </si>
  <si>
    <t>Williamson Valley Rd &amp; Stazenski Rd NB L Turn Lane</t>
  </si>
  <si>
    <t>CYMPO STP &lt;5K Loan to ADOT</t>
  </si>
  <si>
    <t>These revisions were approved by CYMPO on 06/10/2024 and NACOG on 06/18/2024.</t>
  </si>
  <si>
    <t>Please direct questions regarding federal funding ledgers to ADOT Financial Management Services at</t>
  </si>
  <si>
    <t xml:space="preserve"> resourceadmin@azdot.gov.</t>
  </si>
  <si>
    <t>Prior to the boundary change, CYMPO's rural population according to the 2020 census was 30,433. The boundary change increased CYMPO's rural population to 54,837.</t>
  </si>
  <si>
    <t>As a result, CYMPO's STP &lt;5 apportionments increased by $145,520.</t>
  </si>
  <si>
    <t>NACOGCYMPO-25T1</t>
  </si>
  <si>
    <t>CYMPO Boundary Expansion/2050 RTP</t>
  </si>
  <si>
    <t>NACOG STP &lt;5K Transfer to CYMPO</t>
  </si>
  <si>
    <t>CYMPOADOT-24T2</t>
  </si>
  <si>
    <t>SR89A RSA &amp; HSIP Crash Safety Analysis</t>
  </si>
  <si>
    <t>ADOT STP 50-200K Transfer to CYMPO</t>
  </si>
  <si>
    <t>CYMPOADOT-24T1</t>
  </si>
  <si>
    <t>CYMPO HSIP Transfer to ADOT</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</si>
  <si>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</si>
  <si>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</si>
  <si>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1. FFY25 estimates incorporate changes to STP apportionments resulting from the NACOG/CYMPO boundary change.</t>
  </si>
  <si>
    <t>FOOTNOTES</t>
  </si>
  <si>
    <t xml:space="preserve">to CYMPO's rural population. Prior to the correction, CYMPO's rural population was 54,837. The adjustment increased </t>
  </si>
  <si>
    <t>CYMPO FFY25</t>
  </si>
  <si>
    <t>2. Slight adjustments to NACOG, WACOG, and Bullhead City MPO (BHCMPO) populations were made in December 2024, including the reallocation of 860 individuals from NACOG's rural population</t>
  </si>
  <si>
    <t>CYMPO's rural population to 55,697. As a result, CYMPO's STP &lt;5 apportionments increased by $5,128.00.</t>
  </si>
  <si>
    <t xml:space="preserve">3. Any HSIP apportionments that become available on the ledger as a result of a project close out or other reasons, are eligible to be exchanged for STBG apportionments. </t>
  </si>
  <si>
    <t>PCY2605P</t>
  </si>
  <si>
    <t>CY-MPO-22-07</t>
  </si>
  <si>
    <t>C</t>
  </si>
  <si>
    <t>PCY2603P</t>
  </si>
  <si>
    <t>CYMPO FY 2026/FY 2027 WP - PL</t>
  </si>
  <si>
    <t>CYMPO FY 2026/FY 2027 WP - STBG</t>
  </si>
  <si>
    <t>CYMPO FY 2026/27 WP - CRP</t>
  </si>
  <si>
    <t>PCY2601P</t>
  </si>
  <si>
    <t>CYMPO FY 2026/FY 2027 WP - SPR</t>
  </si>
  <si>
    <t>Planned Lapsing - 06/30/26</t>
  </si>
  <si>
    <t>Lapsed - 07/01/26</t>
  </si>
  <si>
    <t>Planned Lapsing - 09/30/26</t>
  </si>
  <si>
    <t>Carry Forward to FFY 27</t>
  </si>
  <si>
    <t>State FY 26 Approved work program amount</t>
  </si>
  <si>
    <t>State FY 26 amount authorized prior to 09/30/25 or Lapsed funding</t>
  </si>
  <si>
    <t>Total SPR apportionments for Federal Fiscal Year 26 (as shown on ledger)</t>
  </si>
  <si>
    <t>State FY 26 amount available for authorization 10/01/25 - 06/30/26</t>
  </si>
  <si>
    <t>State FY 27 amount available for authorization 07/1/26 - 09/30/26 (request must be submitted by 09/01/26)</t>
  </si>
  <si>
    <t>RLTAP31P</t>
  </si>
  <si>
    <t>VARIOUS</t>
  </si>
  <si>
    <t>LOCAL LEDGERS</t>
  </si>
  <si>
    <t>LTAP - FFY26</t>
  </si>
  <si>
    <t>999</t>
  </si>
  <si>
    <t>Federal Fiscal Year 2026</t>
  </si>
  <si>
    <t>CYMPO FFY26 Est.</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</si>
  <si>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</si>
  <si>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PCY2403P</t>
  </si>
  <si>
    <t>Various</t>
  </si>
  <si>
    <t>FY24-25 STBG WORK PROGRAM - CYMPO</t>
  </si>
  <si>
    <t>024</t>
  </si>
  <si>
    <t>PCY2402P</t>
  </si>
  <si>
    <t>CYMPO FY 2024 - 2025 WP - PL</t>
  </si>
  <si>
    <t>PCY2401P</t>
  </si>
  <si>
    <t>CYMPO FY 2024/FY 2025 WP - SPR</t>
  </si>
  <si>
    <t xml:space="preserve">Federal Aid Transaction Ledger
</t>
  </si>
  <si>
    <t>The FFY 26 OA limitation ratio for the State is 87.4%.  The rate for calculations in FY 2026 for the ledgers will be 0.949.  This rate is subject to change in future fiscal years.</t>
  </si>
  <si>
    <t>4. This ledger does not track Transit funding. Transit Consolidated Planning Grant (CPG) funding will be added as a footnote here upon receipt of FFY26 allocations.</t>
  </si>
  <si>
    <t>PCY2405P</t>
  </si>
  <si>
    <t>CYMPO FY 2024/25 WP - 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</si>
</sst>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43" formatCode="_(* #,##0.00_);_(* \(#,##0.00\);_(* &quot;-&quot;??_);_(@_)"/>
    <numFmt numFmtId="164" formatCode="mm/dd/yy;@"/>
    <numFmt numFmtId="165" formatCode="mm/dd/yyyy"/>
  </numFmts>
  <fonts count="5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trike/>
      <sz val="11"/>
      <color theme="1"/>
      <name val="Calibri"/>
      <family val="2"/>
      <scheme val="minor"/>
    </font>
    <font>
      <b/>
      <i/>
      <strike/>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b/>
      <sz val="9"/>
      <name val="Arial"/>
      <family val="2"/>
    </font>
    <font>
      <sz val="12"/>
      <name val="Times New Roman"/>
      <family val="1"/>
    </font>
    <font>
      <sz val="8"/>
      <name val="Arial"/>
      <family val="2"/>
    </font>
    <font>
      <sz val="10"/>
      <color rgb="FF000000"/>
      <name val="Arial"/>
      <family val="2"/>
    </font>
    <font>
      <sz val="9"/>
      <color theme="1"/>
      <name val="Arial Unicode MS"/>
      <family val="2"/>
    </font>
    <font>
      <sz val="11"/>
      <color theme="1"/>
      <name val="Calibri"/>
      <family val="2"/>
      <scheme val="minor"/>
    </font>
    <font>
      <sz val="9"/>
      <color theme="1"/>
      <name val="Arial Unicode MS"/>
      <family val="2"/>
    </font>
    <font>
      <i/>
      <sz val="9"/>
      <color theme="1"/>
      <name val="Arial Unicode MS"/>
      <family val="2"/>
    </font>
    <font>
      <sz val="11"/>
      <color theme="1"/>
      <name val="Calibri"/>
      <family val="2"/>
      <scheme val="minor"/>
    </font>
    <font>
      <sz val="11"/>
      <color rgb="FFFF0000"/>
      <name val="Arial Unicode MS"/>
      <family val="2"/>
    </font>
    <font>
      <sz val="11"/>
      <color theme="1"/>
      <name val="Calibri"/>
      <family val="2"/>
      <scheme val="minor"/>
    </font>
    <font>
      <b/>
      <u/>
      <sz val="11"/>
      <color theme="1"/>
      <name val="Arial Unicode MS"/>
      <family val="2"/>
    </font>
    <font>
      <b/>
      <sz val="11"/>
      <color rgb="FFFF0000"/>
      <name val="Calibri"/>
      <family val="2"/>
      <scheme val="minor"/>
    </font>
    <font>
      <sz val="8"/>
      <name val="Wingdings"/>
      <charset val="2"/>
    </font>
    <font>
      <sz val="11"/>
      <name val="Calibri Light"/>
      <family val="2"/>
      <scheme val="major"/>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auto="1"/>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6">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0" fontId="32" fillId="0" borderId="0"/>
    <xf numFmtId="0" fontId="32" fillId="0" borderId="0"/>
    <xf numFmtId="9" fontId="1" fillId="0" borderId="0" applyFont="0" applyFill="0" applyBorder="0" applyAlignment="0" applyProtection="0"/>
    <xf numFmtId="0" fontId="40" fillId="0" borderId="0"/>
    <xf numFmtId="0" fontId="41" fillId="0" borderId="0"/>
    <xf numFmtId="43" fontId="4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0" fontId="42" fillId="0" borderId="0"/>
    <xf numFmtId="0" fontId="32" fillId="0" borderId="0"/>
    <xf numFmtId="0" fontId="42" fillId="0" borderId="0"/>
    <xf numFmtId="0" fontId="3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32" fillId="0" borderId="0"/>
    <xf numFmtId="0" fontId="42" fillId="0" borderId="0"/>
    <xf numFmtId="0" fontId="32" fillId="0" borderId="0"/>
    <xf numFmtId="0" fontId="42" fillId="0" borderId="0"/>
    <xf numFmtId="0" fontId="42" fillId="0" borderId="0"/>
    <xf numFmtId="0" fontId="32" fillId="0" borderId="0"/>
    <xf numFmtId="0" fontId="42" fillId="0" borderId="0"/>
    <xf numFmtId="9" fontId="1" fillId="0" borderId="0" applyFont="0" applyFill="0" applyBorder="0" applyAlignment="0" applyProtection="0"/>
    <xf numFmtId="9" fontId="32" fillId="0" borderId="0" applyFont="0" applyFill="0" applyBorder="0" applyAlignment="0" applyProtection="0"/>
    <xf numFmtId="0" fontId="32" fillId="0" borderId="0"/>
  </cellStyleXfs>
  <cellXfs count="230">
    <xf numFmtId="0" fontId="0" fillId="0" borderId="0" xfId="0"/>
    <xf numFmtId="0" fontId="0" fillId="0" borderId="0" xfId="0" applyAlignment="1">
      <alignment horizontal="center" vertical="top"/>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0" fontId="25" fillId="0" borderId="0" xfId="0" applyFont="1" applyAlignment="1">
      <alignment horizontal="left" vertical="top"/>
    </xf>
    <xf numFmtId="43" fontId="0" fillId="0" borderId="1" xfId="3" applyFont="1" applyBorder="1"/>
    <xf numFmtId="43" fontId="10" fillId="0" borderId="1" xfId="3" applyFont="1" applyBorder="1"/>
    <xf numFmtId="43" fontId="0" fillId="0" borderId="9" xfId="3" applyFont="1" applyBorder="1"/>
    <xf numFmtId="43" fontId="10" fillId="0" borderId="9" xfId="3" applyFont="1" applyBorder="1"/>
    <xf numFmtId="43" fontId="10" fillId="0" borderId="10" xfId="3" applyFont="1" applyBorder="1"/>
    <xf numFmtId="43" fontId="10" fillId="0" borderId="6" xfId="3" applyFont="1" applyBorder="1"/>
    <xf numFmtId="14" fontId="0" fillId="0" borderId="0" xfId="3" applyNumberFormat="1" applyFont="1" applyAlignment="1">
      <alignment horizontal="lef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40" fontId="24" fillId="0" borderId="0" xfId="0" applyNumberFormat="1" applyFont="1" applyAlignment="1">
      <alignment horizontal="left" vertical="top" wrapText="1"/>
    </xf>
    <xf numFmtId="14" fontId="17" fillId="0" borderId="0" xfId="0" applyNumberFormat="1" applyFont="1" applyAlignment="1">
      <alignment horizontal="center"/>
    </xf>
    <xf numFmtId="14" fontId="17" fillId="0" borderId="0" xfId="0" applyNumberFormat="1" applyFont="1" applyAlignment="1">
      <alignment horizontal="center" vertical="center"/>
    </xf>
    <xf numFmtId="40" fontId="17" fillId="0" borderId="0" xfId="0" applyNumberFormat="1" applyFont="1" applyAlignment="1">
      <alignment horizontal="center" vertical="center"/>
    </xf>
    <xf numFmtId="43" fontId="11" fillId="0" borderId="0" xfId="3" applyFont="1" applyAlignment="1">
      <alignment vertical="top" wrapText="1"/>
    </xf>
    <xf numFmtId="43" fontId="27" fillId="0" borderId="0" xfId="3" applyFont="1"/>
    <xf numFmtId="43" fontId="27" fillId="0" borderId="9" xfId="3" applyFont="1" applyBorder="1"/>
    <xf numFmtId="43" fontId="27" fillId="0" borderId="1" xfId="3" applyFont="1" applyBorder="1"/>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0" fontId="17" fillId="0" borderId="1" xfId="0" applyNumberFormat="1" applyFont="1" applyBorder="1" applyAlignment="1">
      <alignment horizontal="right" vertical="top"/>
    </xf>
    <xf numFmtId="40" fontId="17" fillId="0" borderId="0" xfId="0" applyNumberFormat="1" applyFont="1" applyAlignment="1">
      <alignment vertical="top"/>
    </xf>
    <xf numFmtId="14" fontId="23" fillId="2" borderId="6" xfId="0" applyNumberFormat="1" applyFont="1" applyFill="1" applyBorder="1" applyAlignment="1">
      <alignment horizontal="center" vertical="center" wrapText="1"/>
    </xf>
    <xf numFmtId="43" fontId="28" fillId="0" borderId="0" xfId="3" applyFont="1"/>
    <xf numFmtId="43" fontId="28" fillId="0" borderId="10" xfId="3" applyFont="1" applyBorder="1"/>
    <xf numFmtId="43" fontId="28" fillId="0" borderId="13" xfId="3" applyFont="1" applyBorder="1"/>
    <xf numFmtId="43" fontId="28" fillId="0" borderId="6" xfId="3" applyFont="1" applyBorder="1"/>
    <xf numFmtId="43" fontId="28" fillId="0" borderId="14" xfId="3" applyFont="1" applyBorder="1"/>
    <xf numFmtId="43" fontId="29" fillId="0" borderId="0" xfId="3" applyFont="1"/>
    <xf numFmtId="43" fontId="29" fillId="0" borderId="10" xfId="3" applyFont="1" applyBorder="1"/>
    <xf numFmtId="43" fontId="29" fillId="0" borderId="6" xfId="3" applyFont="1" applyBorder="1"/>
    <xf numFmtId="43" fontId="29" fillId="0" borderId="13" xfId="3" applyFont="1" applyBorder="1"/>
    <xf numFmtId="43" fontId="29" fillId="0" borderId="14" xfId="3" applyFont="1" applyBorder="1"/>
    <xf numFmtId="43" fontId="0" fillId="0" borderId="10" xfId="3" applyFont="1" applyBorder="1"/>
    <xf numFmtId="43" fontId="0" fillId="0" borderId="13" xfId="3" applyFont="1" applyBorder="1"/>
    <xf numFmtId="43" fontId="0" fillId="0" borderId="6" xfId="3" applyFont="1" applyBorder="1"/>
    <xf numFmtId="43" fontId="0" fillId="0" borderId="14" xfId="3" applyFont="1" applyBorder="1"/>
    <xf numFmtId="43" fontId="30" fillId="0" borderId="0" xfId="3" applyFont="1" applyBorder="1"/>
    <xf numFmtId="43" fontId="30" fillId="0" borderId="0" xfId="3" applyFont="1"/>
    <xf numFmtId="164" fontId="24" fillId="0" borderId="0" xfId="0" applyNumberFormat="1" applyFont="1" applyAlignment="1">
      <alignment horizontal="center" vertical="top" wrapText="1"/>
    </xf>
    <xf numFmtId="14" fontId="17" fillId="0" borderId="0" xfId="0" applyNumberFormat="1" applyFont="1" applyAlignment="1">
      <alignment horizontal="center" vertical="center" wrapText="1"/>
    </xf>
    <xf numFmtId="0" fontId="17" fillId="0" borderId="0" xfId="0" applyFont="1" applyAlignment="1">
      <alignment horizontal="center" vertical="top" wrapText="1"/>
    </xf>
    <xf numFmtId="40" fontId="24" fillId="0" borderId="0" xfId="0" applyNumberFormat="1" applyFont="1" applyAlignment="1">
      <alignment horizontal="center" vertical="top" wrapText="1"/>
    </xf>
    <xf numFmtId="40" fontId="17" fillId="4" borderId="1" xfId="0" applyNumberFormat="1" applyFont="1" applyFill="1" applyBorder="1" applyAlignment="1">
      <alignment horizontal="right" vertical="top"/>
    </xf>
    <xf numFmtId="40" fontId="16" fillId="5" borderId="6" xfId="0" applyNumberFormat="1" applyFont="1" applyFill="1" applyBorder="1" applyAlignment="1">
      <alignment horizontal="center" vertical="center" wrapText="1"/>
    </xf>
    <xf numFmtId="43" fontId="31" fillId="0" borderId="0" xfId="3" applyFont="1" applyBorder="1"/>
    <xf numFmtId="43" fontId="31" fillId="0" borderId="0" xfId="3" applyFont="1"/>
    <xf numFmtId="40" fontId="24" fillId="0" borderId="0" xfId="0" applyNumberFormat="1" applyFont="1" applyAlignment="1">
      <alignment vertical="top" wrapText="1"/>
    </xf>
    <xf numFmtId="40" fontId="24" fillId="0" borderId="0" xfId="0" applyNumberFormat="1" applyFont="1" applyAlignment="1">
      <alignment vertical="top"/>
    </xf>
    <xf numFmtId="164" fontId="24" fillId="0" borderId="0" xfId="0" applyNumberFormat="1" applyFont="1" applyAlignment="1">
      <alignment horizontal="center" vertical="top"/>
    </xf>
    <xf numFmtId="43" fontId="35" fillId="0" borderId="0" xfId="3" applyFont="1"/>
    <xf numFmtId="43" fontId="36" fillId="0" borderId="0" xfId="3" applyFont="1"/>
    <xf numFmtId="9" fontId="0" fillId="0" borderId="0" xfId="6" applyFont="1"/>
    <xf numFmtId="43" fontId="37" fillId="0" borderId="0" xfId="3" applyFont="1"/>
    <xf numFmtId="38" fontId="38" fillId="0" borderId="18" xfId="0" applyNumberFormat="1" applyFont="1" applyBorder="1" applyAlignment="1">
      <alignment horizontal="center" vertical="center" wrapText="1"/>
    </xf>
    <xf numFmtId="38" fontId="38" fillId="6" borderId="15" xfId="0" applyNumberFormat="1" applyFont="1" applyFill="1" applyBorder="1" applyAlignment="1">
      <alignment horizontal="center" vertical="center" wrapText="1"/>
    </xf>
    <xf numFmtId="38" fontId="38" fillId="0" borderId="3" xfId="0" applyNumberFormat="1" applyFont="1" applyBorder="1" applyAlignment="1">
      <alignment vertical="top"/>
    </xf>
    <xf numFmtId="0" fontId="38" fillId="7" borderId="3" xfId="3" applyNumberFormat="1" applyFont="1" applyFill="1" applyBorder="1" applyAlignment="1">
      <alignment horizontal="center" vertical="center" wrapText="1"/>
    </xf>
    <xf numFmtId="0" fontId="38" fillId="7" borderId="1" xfId="3" applyNumberFormat="1" applyFont="1" applyFill="1" applyBorder="1" applyAlignment="1">
      <alignment horizontal="center" vertical="center" wrapText="1"/>
    </xf>
    <xf numFmtId="0" fontId="38" fillId="7" borderId="4" xfId="3" applyNumberFormat="1" applyFont="1" applyFill="1" applyBorder="1" applyAlignment="1">
      <alignment horizontal="center" vertical="center" wrapText="1"/>
    </xf>
    <xf numFmtId="38" fontId="38" fillId="0" borderId="1" xfId="0" applyNumberFormat="1" applyFont="1" applyBorder="1" applyAlignment="1">
      <alignment vertical="top"/>
    </xf>
    <xf numFmtId="38" fontId="38" fillId="0" borderId="4" xfId="0" applyNumberFormat="1" applyFont="1" applyBorder="1" applyAlignment="1">
      <alignment vertical="top"/>
    </xf>
    <xf numFmtId="38" fontId="38" fillId="0" borderId="24" xfId="0" applyNumberFormat="1" applyFont="1" applyBorder="1" applyAlignment="1">
      <alignment vertical="top"/>
    </xf>
    <xf numFmtId="14" fontId="16" fillId="0" borderId="7" xfId="1" applyNumberFormat="1" applyFont="1" applyBorder="1" applyAlignment="1">
      <alignment horizontal="center" vertical="center" wrapText="1"/>
    </xf>
    <xf numFmtId="14" fontId="16" fillId="0" borderId="25" xfId="1" applyNumberFormat="1" applyFont="1" applyBorder="1" applyAlignment="1">
      <alignment horizontal="center" vertical="center" wrapText="1"/>
    </xf>
    <xf numFmtId="40"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40" fontId="17" fillId="4" borderId="25" xfId="0" applyNumberFormat="1" applyFont="1" applyFill="1" applyBorder="1" applyAlignment="1">
      <alignment horizontal="right" vertical="top"/>
    </xf>
    <xf numFmtId="40" fontId="17" fillId="4" borderId="7" xfId="0" applyNumberFormat="1" applyFont="1" applyFill="1" applyBorder="1" applyAlignment="1">
      <alignment horizontal="right" vertical="top"/>
    </xf>
    <xf numFmtId="14" fontId="17" fillId="0" borderId="7" xfId="0" applyNumberFormat="1" applyFont="1" applyBorder="1" applyAlignment="1">
      <alignment horizontal="left" vertical="top" wrapText="1"/>
    </xf>
    <xf numFmtId="40" fontId="17" fillId="0" borderId="25" xfId="0" applyNumberFormat="1" applyFont="1" applyBorder="1" applyAlignment="1">
      <alignment horizontal="right" vertical="top"/>
    </xf>
    <xf numFmtId="40" fontId="17" fillId="0" borderId="7" xfId="0" applyNumberFormat="1" applyFont="1" applyBorder="1" applyAlignment="1">
      <alignment horizontal="right" vertical="top"/>
    </xf>
    <xf numFmtId="40" fontId="17" fillId="2" borderId="7" xfId="0" applyNumberFormat="1" applyFont="1" applyFill="1" applyBorder="1" applyAlignment="1">
      <alignment horizontal="right" vertical="top"/>
    </xf>
    <xf numFmtId="40" fontId="17" fillId="4" borderId="25" xfId="0" applyNumberFormat="1" applyFont="1" applyFill="1" applyBorder="1" applyAlignment="1">
      <alignment vertical="top"/>
    </xf>
    <xf numFmtId="40" fontId="17" fillId="0" borderId="25" xfId="0" applyNumberFormat="1" applyFont="1" applyBorder="1" applyAlignment="1">
      <alignment vertical="top"/>
    </xf>
    <xf numFmtId="40" fontId="17" fillId="0" borderId="7" xfId="0" applyNumberFormat="1" applyFont="1" applyBorder="1" applyAlignment="1">
      <alignment vertical="top"/>
    </xf>
    <xf numFmtId="14" fontId="23" fillId="4" borderId="2" xfId="0" applyNumberFormat="1" applyFont="1" applyFill="1" applyBorder="1" applyAlignment="1">
      <alignment horizontal="left" vertical="top" wrapText="1"/>
    </xf>
    <xf numFmtId="40" fontId="16" fillId="0" borderId="27" xfId="1" applyNumberFormat="1" applyFont="1" applyBorder="1" applyAlignment="1">
      <alignment horizontal="center" vertical="center" wrapText="1"/>
    </xf>
    <xf numFmtId="40" fontId="17" fillId="4" borderId="27" xfId="0" applyNumberFormat="1" applyFont="1" applyFill="1" applyBorder="1" applyAlignment="1">
      <alignment horizontal="right" vertical="top"/>
    </xf>
    <xf numFmtId="40" fontId="17" fillId="0" borderId="27" xfId="0" applyNumberFormat="1" applyFont="1" applyBorder="1" applyAlignment="1">
      <alignment horizontal="right" vertical="top"/>
    </xf>
    <xf numFmtId="40" fontId="17" fillId="4" borderId="27" xfId="0" applyNumberFormat="1" applyFont="1" applyFill="1" applyBorder="1" applyAlignment="1">
      <alignment vertical="top"/>
    </xf>
    <xf numFmtId="40" fontId="17" fillId="0" borderId="27" xfId="0" applyNumberFormat="1" applyFont="1" applyBorder="1" applyAlignment="1">
      <alignment vertical="top"/>
    </xf>
    <xf numFmtId="40" fontId="23" fillId="4" borderId="3" xfId="0" applyNumberFormat="1" applyFont="1" applyFill="1" applyBorder="1" applyAlignment="1">
      <alignment horizontal="right" vertical="top"/>
    </xf>
    <xf numFmtId="38" fontId="0" fillId="0" borderId="0" xfId="0" applyNumberFormat="1"/>
    <xf numFmtId="38" fontId="38" fillId="0" borderId="4" xfId="0" applyNumberFormat="1" applyFont="1" applyBorder="1" applyAlignment="1">
      <alignment horizontal="right" vertical="top"/>
    </xf>
    <xf numFmtId="38" fontId="38" fillId="0" borderId="9" xfId="0" applyNumberFormat="1" applyFont="1" applyBorder="1" applyAlignment="1">
      <alignment vertical="top"/>
    </xf>
    <xf numFmtId="38" fontId="39" fillId="0" borderId="2" xfId="0" applyNumberFormat="1" applyFont="1" applyBorder="1" applyAlignment="1">
      <alignment horizontal="right" vertical="top" wrapText="1"/>
    </xf>
    <xf numFmtId="38" fontId="38" fillId="0" borderId="3" xfId="0" applyNumberFormat="1" applyFont="1" applyBorder="1" applyAlignment="1">
      <alignment horizontal="right" vertical="top"/>
    </xf>
    <xf numFmtId="38" fontId="38" fillId="0" borderId="28" xfId="0" applyNumberFormat="1" applyFont="1" applyBorder="1" applyAlignment="1">
      <alignment vertical="top"/>
    </xf>
    <xf numFmtId="38" fontId="39" fillId="0" borderId="24" xfId="0" applyNumberFormat="1" applyFont="1" applyBorder="1" applyAlignment="1">
      <alignment horizontal="right" vertical="center"/>
    </xf>
    <xf numFmtId="40" fontId="43" fillId="0" borderId="0" xfId="0" applyNumberFormat="1" applyFont="1" applyAlignment="1">
      <alignment vertical="top" wrapText="1"/>
    </xf>
    <xf numFmtId="40" fontId="17" fillId="4" borderId="1" xfId="0" applyNumberFormat="1" applyFont="1" applyFill="1" applyBorder="1" applyAlignment="1">
      <alignment vertical="top"/>
    </xf>
    <xf numFmtId="40" fontId="17" fillId="0" borderId="1" xfId="0" applyNumberFormat="1" applyFont="1" applyBorder="1" applyAlignment="1">
      <alignment vertical="top" wrapText="1"/>
    </xf>
    <xf numFmtId="43" fontId="44" fillId="0" borderId="0" xfId="3" applyFont="1"/>
    <xf numFmtId="40" fontId="43" fillId="0" borderId="0" xfId="0" applyNumberFormat="1" applyFont="1" applyAlignment="1">
      <alignment horizontal="center" vertical="center" wrapText="1"/>
    </xf>
    <xf numFmtId="164" fontId="11" fillId="0" borderId="0" xfId="0" applyNumberFormat="1" applyFont="1" applyAlignment="1">
      <alignment vertical="top" wrapText="1"/>
    </xf>
    <xf numFmtId="164" fontId="17" fillId="0" borderId="0" xfId="0" applyNumberFormat="1" applyFont="1" applyAlignment="1">
      <alignment horizontal="center" vertical="center"/>
    </xf>
    <xf numFmtId="164" fontId="15"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4" fontId="21" fillId="0" borderId="0" xfId="0" applyNumberFormat="1" applyFont="1" applyAlignment="1">
      <alignment horizontal="center" vertical="center" wrapText="1"/>
    </xf>
    <xf numFmtId="164" fontId="17" fillId="0" borderId="0" xfId="0" applyNumberFormat="1" applyFont="1" applyAlignment="1">
      <alignment horizontal="center" vertical="center" wrapText="1"/>
    </xf>
    <xf numFmtId="164" fontId="17" fillId="0" borderId="0" xfId="0" applyNumberFormat="1" applyFont="1" applyAlignment="1">
      <alignment vertical="top" wrapText="1"/>
    </xf>
    <xf numFmtId="14" fontId="11" fillId="0" borderId="0" xfId="0" applyNumberFormat="1" applyFont="1" applyAlignment="1">
      <alignment horizontal="center" vertical="center" wrapText="1"/>
    </xf>
    <xf numFmtId="40" fontId="17" fillId="2" borderId="1" xfId="0" applyNumberFormat="1" applyFont="1" applyFill="1" applyBorder="1" applyAlignment="1">
      <alignment horizontal="right" vertical="top"/>
    </xf>
    <xf numFmtId="40" fontId="17" fillId="0" borderId="1" xfId="0" applyNumberFormat="1" applyFont="1" applyBorder="1" applyAlignment="1">
      <alignment horizontal="right" vertical="top" wrapText="1"/>
    </xf>
    <xf numFmtId="40" fontId="17" fillId="0" borderId="1" xfId="0" applyNumberFormat="1" applyFont="1" applyBorder="1" applyAlignment="1">
      <alignment horizontal="right" vertical="center" wrapText="1"/>
    </xf>
    <xf numFmtId="40" fontId="17" fillId="4" borderId="3" xfId="0" applyNumberFormat="1" applyFont="1" applyFill="1" applyBorder="1" applyAlignment="1">
      <alignment vertical="top"/>
    </xf>
    <xf numFmtId="38" fontId="17" fillId="2" borderId="1" xfId="0" applyNumberFormat="1" applyFont="1" applyFill="1" applyBorder="1" applyAlignment="1">
      <alignment vertical="top" wrapText="1"/>
    </xf>
    <xf numFmtId="40" fontId="17" fillId="2" borderId="1" xfId="0" applyNumberFormat="1" applyFont="1" applyFill="1" applyBorder="1" applyAlignment="1">
      <alignment vertical="top" wrapText="1"/>
    </xf>
    <xf numFmtId="40" fontId="17" fillId="4" borderId="9" xfId="0" applyNumberFormat="1" applyFont="1" applyFill="1" applyBorder="1" applyAlignment="1">
      <alignment vertical="top"/>
    </xf>
    <xf numFmtId="0" fontId="38" fillId="0" borderId="1" xfId="0" applyFont="1" applyBorder="1" applyAlignment="1">
      <alignment vertical="top" wrapText="1"/>
    </xf>
    <xf numFmtId="0" fontId="38" fillId="0" borderId="2" xfId="0" applyFont="1" applyBorder="1" applyAlignment="1">
      <alignment vertical="top" wrapText="1"/>
    </xf>
    <xf numFmtId="40" fontId="23" fillId="4" borderId="1" xfId="0" applyNumberFormat="1" applyFont="1" applyFill="1" applyBorder="1" applyAlignment="1">
      <alignment horizontal="right" vertical="top"/>
    </xf>
    <xf numFmtId="40" fontId="17" fillId="0" borderId="0" xfId="0" applyNumberFormat="1" applyFont="1" applyAlignment="1">
      <alignment horizontal="center" vertical="center" wrapText="1"/>
    </xf>
    <xf numFmtId="165" fontId="17" fillId="0" borderId="0" xfId="0" applyNumberFormat="1" applyFont="1" applyAlignment="1">
      <alignment horizontal="center" vertical="center" wrapText="1"/>
    </xf>
    <xf numFmtId="40" fontId="17" fillId="0" borderId="0" xfId="0" applyNumberFormat="1" applyFont="1" applyAlignment="1">
      <alignment horizontal="right" vertical="top" wrapText="1"/>
    </xf>
    <xf numFmtId="40" fontId="20" fillId="0" borderId="26" xfId="0" applyNumberFormat="1" applyFont="1" applyBorder="1" applyAlignment="1">
      <alignment vertical="top" wrapText="1"/>
    </xf>
    <xf numFmtId="40" fontId="20" fillId="0" borderId="0" xfId="0" applyNumberFormat="1" applyFont="1" applyAlignment="1">
      <alignment vertical="top" wrapText="1"/>
    </xf>
    <xf numFmtId="40" fontId="17" fillId="0" borderId="0" xfId="0" applyNumberFormat="1" applyFont="1" applyAlignment="1">
      <alignment horizontal="right" vertical="top"/>
    </xf>
    <xf numFmtId="40" fontId="17" fillId="0" borderId="7" xfId="0" applyNumberFormat="1" applyFont="1" applyBorder="1" applyAlignment="1">
      <alignment horizontal="right" vertical="center" wrapText="1"/>
    </xf>
    <xf numFmtId="40" fontId="17" fillId="0" borderId="26" xfId="0" applyNumberFormat="1" applyFont="1" applyBorder="1" applyAlignment="1">
      <alignment horizontal="right" vertical="top" wrapText="1"/>
    </xf>
    <xf numFmtId="40" fontId="45" fillId="0" borderId="6" xfId="0" applyNumberFormat="1" applyFont="1" applyBorder="1" applyAlignment="1">
      <alignment vertical="top" wrapText="1"/>
    </xf>
    <xf numFmtId="38" fontId="38" fillId="0" borderId="29" xfId="0" applyNumberFormat="1" applyFont="1" applyBorder="1" applyAlignment="1">
      <alignment horizontal="right" vertical="top"/>
    </xf>
    <xf numFmtId="8" fontId="0" fillId="0" borderId="0" xfId="0" applyNumberFormat="1"/>
    <xf numFmtId="40" fontId="17" fillId="0" borderId="6" xfId="0" applyNumberFormat="1" applyFont="1" applyBorder="1" applyAlignment="1">
      <alignment vertical="top" wrapText="1"/>
    </xf>
    <xf numFmtId="40" fontId="46" fillId="0" borderId="0" xfId="0" applyNumberFormat="1" applyFont="1" applyAlignment="1">
      <alignment horizontal="right" vertical="top" wrapText="1"/>
    </xf>
    <xf numFmtId="8" fontId="11" fillId="0" borderId="0" xfId="1" applyNumberFormat="1" applyFont="1" applyAlignment="1">
      <alignment vertical="top" wrapText="1"/>
    </xf>
    <xf numFmtId="8" fontId="11" fillId="0" borderId="0" xfId="0" applyNumberFormat="1" applyFont="1" applyAlignment="1">
      <alignment vertical="top" wrapText="1"/>
    </xf>
    <xf numFmtId="40" fontId="17" fillId="0" borderId="14" xfId="0" applyNumberFormat="1" applyFont="1" applyBorder="1" applyAlignment="1">
      <alignment vertical="top" wrapText="1"/>
    </xf>
    <xf numFmtId="38" fontId="38" fillId="9" borderId="1" xfId="0" applyNumberFormat="1" applyFont="1" applyFill="1" applyBorder="1" applyAlignment="1">
      <alignment vertical="top"/>
    </xf>
    <xf numFmtId="38" fontId="38" fillId="8" borderId="3" xfId="0" applyNumberFormat="1" applyFont="1" applyFill="1" applyBorder="1" applyAlignment="1">
      <alignment vertical="top"/>
    </xf>
    <xf numFmtId="43" fontId="47" fillId="0" borderId="0" xfId="3" applyFont="1"/>
    <xf numFmtId="0" fontId="48" fillId="0" borderId="0" xfId="0" applyFont="1" applyAlignment="1">
      <alignment vertical="top"/>
    </xf>
    <xf numFmtId="38" fontId="38" fillId="0" borderId="29" xfId="0" applyNumberFormat="1" applyFont="1" applyBorder="1" applyAlignment="1">
      <alignment vertical="top"/>
    </xf>
    <xf numFmtId="43" fontId="49" fillId="0" borderId="0" xfId="3" applyFont="1"/>
    <xf numFmtId="0" fontId="0" fillId="0" borderId="0" xfId="0" applyAlignment="1">
      <alignment horizontal="left" vertical="top"/>
    </xf>
    <xf numFmtId="3" fontId="0" fillId="0" borderId="0" xfId="0" applyNumberFormat="1"/>
    <xf numFmtId="4" fontId="0" fillId="0" borderId="0" xfId="0" applyNumberFormat="1"/>
    <xf numFmtId="14" fontId="17" fillId="0" borderId="0" xfId="0" applyNumberFormat="1" applyFont="1" applyAlignment="1">
      <alignment vertical="top" wrapText="1"/>
    </xf>
    <xf numFmtId="0" fontId="50" fillId="0" borderId="0" xfId="0" applyFont="1" applyAlignment="1">
      <alignment vertical="top"/>
    </xf>
    <xf numFmtId="4" fontId="11" fillId="0" borderId="0" xfId="0" applyNumberFormat="1" applyFont="1" applyAlignment="1">
      <alignment vertical="top" wrapText="1"/>
    </xf>
    <xf numFmtId="43" fontId="38" fillId="0" borderId="4" xfId="3" applyFont="1" applyFill="1" applyBorder="1" applyAlignment="1">
      <alignment horizontal="right" vertical="top"/>
    </xf>
    <xf numFmtId="43" fontId="38" fillId="0" borderId="24" xfId="3" applyFont="1" applyFill="1" applyBorder="1" applyAlignment="1">
      <alignment vertical="top"/>
    </xf>
    <xf numFmtId="40" fontId="13" fillId="0" borderId="0" xfId="0" applyNumberFormat="1" applyFont="1" applyAlignment="1">
      <alignment horizontal="center" vertical="center" wrapText="1"/>
    </xf>
    <xf numFmtId="14" fontId="13" fillId="0" borderId="7"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14" fontId="13" fillId="0" borderId="10" xfId="0" applyNumberFormat="1" applyFont="1" applyBorder="1" applyAlignment="1">
      <alignment horizontal="center" vertical="top" wrapText="1"/>
    </xf>
    <xf numFmtId="0" fontId="11" fillId="0" borderId="0" xfId="0" applyFont="1" applyAlignment="1">
      <alignment horizontal="left" vertical="top" wrapText="1"/>
    </xf>
    <xf numFmtId="40" fontId="20" fillId="0" borderId="11" xfId="0" applyNumberFormat="1" applyFont="1" applyBorder="1" applyAlignment="1">
      <alignment horizontal="center" vertical="top" wrapText="1"/>
    </xf>
    <xf numFmtId="40" fontId="23" fillId="0" borderId="2" xfId="0" applyNumberFormat="1" applyFont="1" applyBorder="1" applyAlignment="1">
      <alignment horizontal="right" vertical="top" wrapText="1"/>
    </xf>
    <xf numFmtId="40" fontId="23" fillId="0" borderId="9" xfId="0" applyNumberFormat="1" applyFont="1" applyBorder="1" applyAlignment="1">
      <alignment horizontal="right" vertical="top" wrapText="1"/>
    </xf>
    <xf numFmtId="40" fontId="26" fillId="5" borderId="11" xfId="1" applyNumberFormat="1" applyFont="1" applyFill="1" applyBorder="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top" wrapText="1"/>
    </xf>
    <xf numFmtId="14" fontId="23" fillId="0" borderId="2" xfId="0" applyNumberFormat="1" applyFont="1" applyBorder="1" applyAlignment="1">
      <alignment horizontal="right" vertical="center" wrapText="1"/>
    </xf>
    <xf numFmtId="14" fontId="23" fillId="0" borderId="9" xfId="0" applyNumberFormat="1" applyFont="1" applyBorder="1" applyAlignment="1">
      <alignment horizontal="right" vertical="center" wrapText="1"/>
    </xf>
    <xf numFmtId="14" fontId="23" fillId="0" borderId="2" xfId="0" applyNumberFormat="1" applyFont="1" applyBorder="1" applyAlignment="1">
      <alignment horizontal="right" vertical="top" wrapText="1"/>
    </xf>
    <xf numFmtId="14" fontId="23" fillId="0" borderId="9" xfId="0" applyNumberFormat="1" applyFont="1" applyBorder="1" applyAlignment="1">
      <alignment horizontal="right" vertical="top" wrapText="1"/>
    </xf>
    <xf numFmtId="0" fontId="13"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0" borderId="0" xfId="0" applyAlignment="1">
      <alignment horizontal="left" vertical="top" wrapText="1"/>
    </xf>
    <xf numFmtId="0" fontId="33" fillId="0" borderId="0" xfId="0" applyFont="1" applyAlignment="1">
      <alignment horizontal="left" vertical="top" wrapText="1"/>
    </xf>
    <xf numFmtId="0" fontId="0" fillId="0" borderId="0" xfId="0" applyAlignment="1">
      <alignment horizontal="left" vertical="top"/>
    </xf>
    <xf numFmtId="0" fontId="51" fillId="0" borderId="0" xfId="0" applyFont="1" applyAlignment="1">
      <alignment horizontal="left" vertical="top" wrapText="1"/>
    </xf>
    <xf numFmtId="0" fontId="2" fillId="0" borderId="0" xfId="0" applyFont="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2" fillId="0" borderId="0" xfId="0" applyFont="1" applyAlignment="1">
      <alignment horizontal="left" vertical="top"/>
    </xf>
    <xf numFmtId="0" fontId="33" fillId="2" borderId="0" xfId="0" applyFont="1" applyFill="1" applyAlignment="1">
      <alignment horizontal="left" vertical="top" wrapText="1"/>
    </xf>
    <xf numFmtId="0" fontId="0" fillId="3" borderId="0" xfId="0" applyFill="1" applyAlignment="1">
      <alignment horizontal="left" vertical="top" wrapText="1"/>
    </xf>
    <xf numFmtId="0" fontId="2" fillId="0" borderId="0" xfId="0" applyFont="1" applyAlignment="1">
      <alignment horizontal="center" vertical="top" wrapText="1"/>
    </xf>
    <xf numFmtId="0" fontId="0" fillId="2" borderId="0" xfId="0" applyFill="1" applyAlignment="1">
      <alignment horizontal="left" vertical="top" wrapText="1"/>
    </xf>
    <xf numFmtId="38" fontId="39" fillId="7" borderId="19" xfId="0" applyNumberFormat="1" applyFont="1" applyFill="1" applyBorder="1" applyAlignment="1">
      <alignment horizontal="center" vertical="center" wrapText="1"/>
    </xf>
    <xf numFmtId="38" fontId="39" fillId="7" borderId="20" xfId="0" applyNumberFormat="1" applyFont="1" applyFill="1" applyBorder="1" applyAlignment="1">
      <alignment horizontal="center" vertical="center" wrapText="1"/>
    </xf>
    <xf numFmtId="38" fontId="39" fillId="7" borderId="21" xfId="0" applyNumberFormat="1" applyFont="1" applyFill="1" applyBorder="1" applyAlignment="1">
      <alignment horizontal="center" vertical="center" wrapText="1"/>
    </xf>
    <xf numFmtId="38" fontId="39" fillId="7" borderId="22" xfId="0" applyNumberFormat="1" applyFont="1" applyFill="1" applyBorder="1" applyAlignment="1">
      <alignment horizontal="center" vertical="top" wrapText="1"/>
    </xf>
    <xf numFmtId="38" fontId="39" fillId="7" borderId="23" xfId="0" applyNumberFormat="1" applyFont="1" applyFill="1" applyBorder="1" applyAlignment="1">
      <alignment horizontal="center" vertical="top" wrapText="1"/>
    </xf>
    <xf numFmtId="38" fontId="38" fillId="0" borderId="16" xfId="0" applyNumberFormat="1" applyFont="1" applyBorder="1" applyAlignment="1">
      <alignment horizontal="left" vertical="center" wrapText="1"/>
    </xf>
    <xf numFmtId="38" fontId="38" fillId="0" borderId="17" xfId="0" applyNumberFormat="1" applyFont="1" applyBorder="1" applyAlignment="1">
      <alignment horizontal="left" vertical="center" wrapText="1"/>
    </xf>
  </cellXfs>
  <cellStyles count="46">
    <cellStyle name="Comma" xfId="3" builtinId="3"/>
    <cellStyle name="Comma 2" xfId="9" xr:uid="{00000000-0005-0000-0000-000001000000}"/>
    <cellStyle name="Comma 3" xfId="10" xr:uid="{00000000-0005-0000-0000-000002000000}"/>
    <cellStyle name="Currency" xfId="1" builtinId="4"/>
    <cellStyle name="Currency 2" xfId="11" xr:uid="{00000000-0005-0000-0000-000004000000}"/>
    <cellStyle name="Currency 3" xfId="12" xr:uid="{00000000-0005-0000-0000-000005000000}"/>
    <cellStyle name="Normal" xfId="0" builtinId="0"/>
    <cellStyle name="Normal 10" xfId="13" xr:uid="{00000000-0005-0000-0000-000007000000}"/>
    <cellStyle name="Normal 11" xfId="14" xr:uid="{00000000-0005-0000-0000-000008000000}"/>
    <cellStyle name="Normal 12" xfId="15" xr:uid="{00000000-0005-0000-0000-000009000000}"/>
    <cellStyle name="Normal 13" xfId="16" xr:uid="{00000000-0005-0000-0000-00000A000000}"/>
    <cellStyle name="Normal 14" xfId="17" xr:uid="{00000000-0005-0000-0000-00000B000000}"/>
    <cellStyle name="Normal 15" xfId="18" xr:uid="{00000000-0005-0000-0000-00000C000000}"/>
    <cellStyle name="Normal 16" xfId="19" xr:uid="{00000000-0005-0000-0000-00000D000000}"/>
    <cellStyle name="Normal 17" xfId="20" xr:uid="{00000000-0005-0000-0000-00000E000000}"/>
    <cellStyle name="Normal 18" xfId="21" xr:uid="{00000000-0005-0000-0000-00000F000000}"/>
    <cellStyle name="Normal 19" xfId="22" xr:uid="{00000000-0005-0000-0000-000010000000}"/>
    <cellStyle name="Normal 2" xfId="5" xr:uid="{00000000-0005-0000-0000-000011000000}"/>
    <cellStyle name="Normal 2 2" xfId="8" xr:uid="{00000000-0005-0000-0000-000012000000}"/>
    <cellStyle name="Normal 2 3" xfId="7" xr:uid="{00000000-0005-0000-0000-000013000000}"/>
    <cellStyle name="Normal 2 4" xfId="45" xr:uid="{00000000-0005-0000-0000-000014000000}"/>
    <cellStyle name="Normal 20" xfId="23" xr:uid="{00000000-0005-0000-0000-000015000000}"/>
    <cellStyle name="Normal 21" xfId="24" xr:uid="{00000000-0005-0000-0000-000016000000}"/>
    <cellStyle name="Normal 22" xfId="25" xr:uid="{00000000-0005-0000-0000-000017000000}"/>
    <cellStyle name="Normal 23" xfId="26" xr:uid="{00000000-0005-0000-0000-000018000000}"/>
    <cellStyle name="Normal 24" xfId="27" xr:uid="{00000000-0005-0000-0000-000019000000}"/>
    <cellStyle name="Normal 25" xfId="28" xr:uid="{00000000-0005-0000-0000-00001A000000}"/>
    <cellStyle name="Normal 26" xfId="29" xr:uid="{00000000-0005-0000-0000-00001B000000}"/>
    <cellStyle name="Normal 27" xfId="30" xr:uid="{00000000-0005-0000-0000-00001C000000}"/>
    <cellStyle name="Normal 28" xfId="31" xr:uid="{00000000-0005-0000-0000-00001D000000}"/>
    <cellStyle name="Normal 29" xfId="32" xr:uid="{00000000-0005-0000-0000-00001E000000}"/>
    <cellStyle name="Normal 3" xfId="33" xr:uid="{00000000-0005-0000-0000-00001F000000}"/>
    <cellStyle name="Normal 3 2" xfId="34" xr:uid="{00000000-0005-0000-0000-000020000000}"/>
    <cellStyle name="Normal 4" xfId="4" xr:uid="{00000000-0005-0000-0000-000021000000}"/>
    <cellStyle name="Normal 4 2" xfId="36" xr:uid="{00000000-0005-0000-0000-000022000000}"/>
    <cellStyle name="Normal 4 3" xfId="35" xr:uid="{00000000-0005-0000-0000-000023000000}"/>
    <cellStyle name="Normal 5" xfId="37" xr:uid="{00000000-0005-0000-0000-000024000000}"/>
    <cellStyle name="Normal 5 2" xfId="38" xr:uid="{00000000-0005-0000-0000-000025000000}"/>
    <cellStyle name="Normal 6" xfId="39" xr:uid="{00000000-0005-0000-0000-000026000000}"/>
    <cellStyle name="Normal 7" xfId="40" xr:uid="{00000000-0005-0000-0000-000027000000}"/>
    <cellStyle name="Normal 8" xfId="41" xr:uid="{00000000-0005-0000-0000-000028000000}"/>
    <cellStyle name="Normal 9" xfId="42" xr:uid="{00000000-0005-0000-0000-000029000000}"/>
    <cellStyle name="Normal_Notes" xfId="2" xr:uid="{00000000-0005-0000-0000-00002A000000}"/>
    <cellStyle name="Percent" xfId="6" builtinId="5"/>
    <cellStyle name="Percent 2" xfId="43" xr:uid="{00000000-0005-0000-0000-00002C000000}"/>
    <cellStyle name="Percent 3" xfId="44" xr:uid="{00000000-0005-0000-0000-00002D000000}"/>
  </cellStyles>
  <dxfs count="115">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9" formatCode="m/d/yyyy"/>
      <alignment horizontal="general" vertical="top"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top"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5" formatCode="mm/dd/yyyy"/>
      <alignment horizontal="center" vertical="center" textRotation="0" wrapText="0"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14"/>
      <tableStyleElement type="firstRowStripe" dxfId="113"/>
    </tableStyle>
    <tableStyle name="Table Style 2" pivot="0" count="1" xr9:uid="{00000000-0011-0000-FFFF-FFFF01000000}">
      <tableStyleElement type="firstRowStripe" dxfId="112"/>
    </tableStyle>
    <tableStyle name="Table Style 3" pivot="0" count="1" xr9:uid="{00000000-0011-0000-FFFF-FFFF02000000}">
      <tableStyleElement type="firstRowStripe" dxfId="111"/>
    </tableStyle>
    <tableStyle name="Table Style 4" pivot="0" count="3" xr9:uid="{00000000-0011-0000-FFFF-FFFF03000000}">
      <tableStyleElement type="wholeTable" dxfId="110"/>
      <tableStyleElement type="headerRow" dxfId="109"/>
      <tableStyleElement type="firstRowStripe" dxfId="108"/>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1039029</xdr:colOff>
      <xdr:row>3</xdr:row>
      <xdr:rowOff>76200</xdr:rowOff>
    </xdr:from>
    <xdr:ext cx="184730" cy="1782924"/>
    <xdr:sp macro="" textlink="">
      <xdr:nvSpPr>
        <xdr:cNvPr id="2" name="Rectangle 1">
          <a:extLst>
            <a:ext uri="{FF2B5EF4-FFF2-40B4-BE49-F238E27FC236}">
              <a16:creationId xmlns:a16="http://schemas.microsoft.com/office/drawing/2014/main" id="{00000000-0008-0000-0000-000002000000}"/>
            </a:ext>
          </a:extLst>
        </xdr:cNvPr>
        <xdr:cNvSpPr/>
      </xdr:nvSpPr>
      <xdr:spPr>
        <a:xfrm>
          <a:off x="5027623" y="933450"/>
          <a:ext cx="184730" cy="1782924"/>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6" unboundColumnsRight="2">
    <queryTableFields count="25">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STP OTHER" tableColumnId="22"/>
      <queryTableField id="23" name="CRP 50-200" tableColumnId="23"/>
      <queryTableField id="25" dataBound="0" tableColumnId="24"/>
      <queryTableField id="24" dataBound="0" tableColumnId="2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6" unboundColumnsRight="2">
    <queryTableFields count="25">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STP OTHER" tableColumnId="22"/>
      <queryTableField id="23" name="CRP 50-200" tableColumnId="23"/>
      <queryTableField id="25" dataBound="0" tableColumnId="24"/>
      <queryTableField id="24" dataBound="0" tableColumnId="2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2" xr16:uid="{00000000-0016-0000-0100-000002000000}" autoFormatId="16" applyNumberFormats="0" applyBorderFormats="0" applyFontFormats="0" applyPatternFormats="0" applyAlignmentFormats="0" applyWidthHeightFormats="0">
  <queryTableRefresh preserveSortFilterLayout="0" nextId="24">
    <queryTableFields count="23">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HURF EXCHANGE" tableColumnId="10"/>
      <queryTableField id="11" name="HSIP" tableColumnId="11"/>
      <queryTableField id="12" name="PLAN" tableColumnId="12"/>
      <queryTableField id="13" name="PLAN SATO" tableColumnId="13"/>
      <queryTableField id="14" name="SPR" tableColumnId="14"/>
      <queryTableField id="15" name="STP &lt;5" tableColumnId="15"/>
      <queryTableField id="16" name="STP 5-2" tableColumnId="16"/>
      <queryTableField id="17" name="STP 5-50" tableColumnId="17"/>
      <queryTableField id="18" name="STP 50-200" tableColumnId="18"/>
      <queryTableField id="19" name="STP Flex" tableColumnId="19"/>
      <queryTableField id="20" name="TAP &lt;5" tableColumnId="20"/>
      <queryTableField id="21" name="TAP 5-2" tableColumnId="21"/>
      <queryTableField id="22" name="TAP Flex" tableColumnId="22"/>
      <queryTableField id="23" name="CRP 50-200" tableColumnId="23"/>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3" xr16:uid="{00000000-0016-0000-0100-000003000000}" autoFormatId="16" applyNumberFormats="0" applyBorderFormats="0" applyFontFormats="0" applyPatternFormats="0" applyAlignmentFormats="0" applyWidthHeightFormats="0">
  <queryTableRefresh preserveSortFilterLayout="0" nextId="24">
    <queryTableFields count="23">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HURF EXCHANGE" tableColumnId="10"/>
      <queryTableField id="11" name="HSIP" tableColumnId="11"/>
      <queryTableField id="12" name="PLAN" tableColumnId="12"/>
      <queryTableField id="13" name="PLAN SATO" tableColumnId="13"/>
      <queryTableField id="14" name="SPR" tableColumnId="14"/>
      <queryTableField id="15" name="STP &lt;5" tableColumnId="15"/>
      <queryTableField id="16" name="STP 5-2" tableColumnId="16"/>
      <queryTableField id="17" name="STP 5-50" tableColumnId="17"/>
      <queryTableField id="18" name="STP 50-200" tableColumnId="18"/>
      <queryTableField id="19" name="STP Flex" tableColumnId="19"/>
      <queryTableField id="20" name="TAP &lt;5" tableColumnId="20"/>
      <queryTableField id="21" name="TAP 5-2" tableColumnId="21"/>
      <queryTableField id="22" name="TAP Flex" tableColumnId="22"/>
      <queryTableField id="23" name="CRP 50-200" tableColumnId="2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Y27" tableType="queryTable" totalsRowShown="0" headerRowDxfId="107" dataDxfId="106" tableBorderDxfId="105">
  <autoFilter ref="A15:Y27" xr:uid="{00000000-0009-0000-0100-000007000000}"/>
  <tableColumns count="25">
    <tableColumn id="1" xr3:uid="{00000000-0010-0000-0000-000001000000}" uniqueName="1" name="ADOT#" queryTableFieldId="1" dataDxfId="104"/>
    <tableColumn id="2" xr3:uid="{00000000-0010-0000-0000-000002000000}" uniqueName="2" name="TIP#" queryTableFieldId="2" dataDxfId="103"/>
    <tableColumn id="3" xr3:uid="{00000000-0010-0000-0000-000003000000}" uniqueName="3" name="Sponsor" queryTableFieldId="3" dataDxfId="102"/>
    <tableColumn id="4" xr3:uid="{00000000-0010-0000-0000-000004000000}" uniqueName="4" name="Action/15" queryTableFieldId="4" dataDxfId="101"/>
    <tableColumn id="5" xr3:uid="{00000000-0010-0000-0000-000005000000}" uniqueName="5" name="Location" queryTableFieldId="5" dataDxfId="100"/>
    <tableColumn id="6" xr3:uid="{00000000-0010-0000-0000-000006000000}" uniqueName="6" name="RTE" queryTableFieldId="6" dataDxfId="99"/>
    <tableColumn id="7" xr3:uid="{00000000-0010-0000-0000-000007000000}" uniqueName="7" name="SEC" queryTableFieldId="7" dataDxfId="98"/>
    <tableColumn id="8" xr3:uid="{00000000-0010-0000-0000-000008000000}" uniqueName="8" name="SEQ" queryTableFieldId="8" dataDxfId="97"/>
    <tableColumn id="9" xr3:uid="{00000000-0010-0000-0000-000009000000}" uniqueName="9" name="PB Expected" queryTableFieldId="9" dataDxfId="96"/>
    <tableColumn id="10" xr3:uid="{00000000-0010-0000-0000-00000A000000}" uniqueName="10" name="PB Received" queryTableFieldId="10" dataDxfId="95"/>
    <tableColumn id="11" xr3:uid="{00000000-0010-0000-0000-00000B000000}" uniqueName="11" name="PF Transmitted" queryTableFieldId="11" dataDxfId="94"/>
    <tableColumn id="12" xr3:uid="{00000000-0010-0000-0000-00000C000000}" uniqueName="12" name="Finance Authorization" queryTableFieldId="12" dataDxfId="93"/>
    <tableColumn id="13" xr3:uid="{00000000-0010-0000-0000-00000D000000}" uniqueName="13" name="HURF EX" queryTableFieldId="13" dataDxfId="92"/>
    <tableColumn id="14" xr3:uid="{00000000-0010-0000-0000-00000E000000}" uniqueName="14" name="HSIP" queryTableFieldId="14" dataDxfId="91"/>
    <tableColumn id="15" xr3:uid="{00000000-0010-0000-0000-00000F000000}" uniqueName="15" name="PL" queryTableFieldId="15" dataDxfId="90"/>
    <tableColumn id="16" xr3:uid="{00000000-0010-0000-0000-000010000000}" uniqueName="16" name="PL-SATO" queryTableFieldId="16" dataDxfId="89"/>
    <tableColumn id="17" xr3:uid="{00000000-0010-0000-0000-000011000000}" uniqueName="17" name="SPR" queryTableFieldId="17" dataDxfId="88"/>
    <tableColumn id="18" xr3:uid="{00000000-0010-0000-0000-000012000000}" uniqueName="18" name="STP &lt;5" queryTableFieldId="18" dataDxfId="87"/>
    <tableColumn id="19" xr3:uid="{00000000-0010-0000-0000-000013000000}" uniqueName="19" name="STP 5-200" queryTableFieldId="19" dataDxfId="86"/>
    <tableColumn id="20" xr3:uid="{00000000-0010-0000-0000-000014000000}" uniqueName="20" name="STP 5-50" queryTableFieldId="20" dataDxfId="85"/>
    <tableColumn id="21" xr3:uid="{00000000-0010-0000-0000-000015000000}" uniqueName="21" name="STP 50-200" queryTableFieldId="21" dataDxfId="84"/>
    <tableColumn id="22" xr3:uid="{00000000-0010-0000-0000-000016000000}" uniqueName="22" name="STP OTHER" queryTableFieldId="22" dataDxfId="83"/>
    <tableColumn id="23" xr3:uid="{00000000-0010-0000-0000-000017000000}" uniqueName="23" name="CRP 50-200" queryTableFieldId="23" dataDxfId="82"/>
    <tableColumn id="24" xr3:uid="{00000000-0010-0000-0000-000018000000}" uniqueName="24" name="TOTAL OF AMOUNT" queryTableFieldId="25" dataDxfId="81">
      <calculatedColumnFormula>SUM(Table_Query_from_MS_Access_Database8[[#This Row],[HURF EX]:[CRP 50-200]])</calculatedColumnFormula>
    </tableColumn>
    <tableColumn id="25" xr3:uid="{00000000-0010-0000-0000-000019000000}" uniqueName="25" name="DECLINING BALANCE OF OA" queryTableFieldId="24" dataDxfId="80">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32:Y35" tableType="queryTable" totalsRowShown="0" headerRowDxfId="79" dataDxfId="78">
  <autoFilter ref="A32:Y35" xr:uid="{00000000-0009-0000-0100-000008000000}"/>
  <tableColumns count="25">
    <tableColumn id="1" xr3:uid="{00000000-0010-0000-0100-000001000000}" uniqueName="1" name="ADOT#" queryTableFieldId="1" dataDxfId="77"/>
    <tableColumn id="2" xr3:uid="{00000000-0010-0000-0100-000002000000}" uniqueName="2" name="TIP#" queryTableFieldId="2" dataDxfId="76"/>
    <tableColumn id="3" xr3:uid="{00000000-0010-0000-0100-000003000000}" uniqueName="3" name="Sponsor" queryTableFieldId="3" dataDxfId="75"/>
    <tableColumn id="4" xr3:uid="{00000000-0010-0000-0100-000004000000}" uniqueName="4" name="Action/15" queryTableFieldId="4" dataDxfId="74"/>
    <tableColumn id="5" xr3:uid="{00000000-0010-0000-0100-000005000000}" uniqueName="5" name="Location" queryTableFieldId="5" dataDxfId="73"/>
    <tableColumn id="6" xr3:uid="{00000000-0010-0000-0100-000006000000}" uniqueName="6" name="RTE" queryTableFieldId="6" dataDxfId="72"/>
    <tableColumn id="7" xr3:uid="{00000000-0010-0000-0100-000007000000}" uniqueName="7" name="SEC" queryTableFieldId="7" dataDxfId="71"/>
    <tableColumn id="8" xr3:uid="{00000000-0010-0000-0100-000008000000}" uniqueName="8" name="SEQ" queryTableFieldId="8" dataDxfId="70"/>
    <tableColumn id="9" xr3:uid="{00000000-0010-0000-0100-000009000000}" uniqueName="9" name="PB Expected" queryTableFieldId="9" dataDxfId="69"/>
    <tableColumn id="10" xr3:uid="{00000000-0010-0000-0100-00000A000000}" uniqueName="10" name="PB Received" queryTableFieldId="10" dataDxfId="68"/>
    <tableColumn id="11" xr3:uid="{00000000-0010-0000-0100-00000B000000}" uniqueName="11" name="PF Transmitted" queryTableFieldId="11" dataDxfId="67"/>
    <tableColumn id="12" xr3:uid="{00000000-0010-0000-0100-00000C000000}" uniqueName="12" name="Finance Authorization" queryTableFieldId="12" dataDxfId="66"/>
    <tableColumn id="13" xr3:uid="{00000000-0010-0000-0100-00000D000000}" uniqueName="13" name="HURF EX" queryTableFieldId="13" dataDxfId="65"/>
    <tableColumn id="14" xr3:uid="{00000000-0010-0000-0100-00000E000000}" uniqueName="14" name="HSIP" queryTableFieldId="14" dataDxfId="64"/>
    <tableColumn id="15" xr3:uid="{00000000-0010-0000-0100-00000F000000}" uniqueName="15" name="PL" queryTableFieldId="15" dataDxfId="63"/>
    <tableColumn id="16" xr3:uid="{00000000-0010-0000-0100-000010000000}" uniqueName="16" name="PL-SATO" queryTableFieldId="16" dataDxfId="62"/>
    <tableColumn id="17" xr3:uid="{00000000-0010-0000-0100-000011000000}" uniqueName="17" name="SPR" queryTableFieldId="17" dataDxfId="61"/>
    <tableColumn id="18" xr3:uid="{00000000-0010-0000-0100-000012000000}" uniqueName="18" name="STP &lt;5" queryTableFieldId="18" dataDxfId="60"/>
    <tableColumn id="19" xr3:uid="{00000000-0010-0000-0100-000013000000}" uniqueName="19" name="STP 5-200" queryTableFieldId="19" dataDxfId="59"/>
    <tableColumn id="20" xr3:uid="{00000000-0010-0000-0100-000014000000}" uniqueName="20" name="STP 5-50" queryTableFieldId="20" dataDxfId="58"/>
    <tableColumn id="21" xr3:uid="{00000000-0010-0000-0100-000015000000}" uniqueName="21" name="STP 50-200" queryTableFieldId="21" dataDxfId="57"/>
    <tableColumn id="22" xr3:uid="{00000000-0010-0000-0100-000016000000}" uniqueName="22" name="STP OTHER" queryTableFieldId="22" dataDxfId="56"/>
    <tableColumn id="23" xr3:uid="{00000000-0010-0000-0100-000017000000}" uniqueName="23" name="CRP 50-200" queryTableFieldId="23" dataDxfId="55"/>
    <tableColumn id="24" xr3:uid="{00000000-0010-0000-0100-000018000000}" uniqueName="24" name="TOTAL OF AMOUNT" queryTableFieldId="25" dataDxfId="54">
      <calculatedColumnFormula>SUM(Table_Query_from_MS_Access_Database_1[[#This Row],[HURF EX]:[CRP 50-200]])</calculatedColumnFormula>
    </tableColumn>
    <tableColumn id="25" xr3:uid="{00000000-0010-0000-0100-000019000000}" uniqueName="25" name="DECLINING BALANCE OF OA" queryTableFieldId="24" dataDxfId="53">
      <calculatedColumnFormula>IF(ISTEXT(INDIRECT(ADDRESS(ROW()-1,COLUMN()))),INDIRECT(ADDRESS(12,COLUMN()))-SUM(Table_Query_from_MS_Access_Database8[TOTAL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W74" tableType="queryTable" totalsRowShown="0" headerRowDxfId="52" headerRowBorderDxfId="51" tableBorderDxfId="50" totalsRowBorderDxfId="49" headerRowCellStyle="Comma" dataCellStyle="Comma">
  <autoFilter ref="A11:W74" xr:uid="{00000000-000C-0000-FFFF-FFFF02000000}"/>
  <tableColumns count="23">
    <tableColumn id="1" xr3:uid="{A610310C-D7C2-4B04-8DA5-0D879F90656B}" uniqueName="1" name="Transaction Year" queryTableFieldId="1" dataDxfId="48" dataCellStyle="Comma"/>
    <tableColumn id="2" xr3:uid="{5A100C79-A171-443A-86FA-71BF882CBAE2}" uniqueName="2" name="Transaction Type" queryTableFieldId="2" dataDxfId="47" dataCellStyle="Comma"/>
    <tableColumn id="3" xr3:uid="{D68D0330-E57A-4CF6-AF4A-E886E81746BF}" uniqueName="3" name="Number" queryTableFieldId="3" dataDxfId="46" dataCellStyle="Comma"/>
    <tableColumn id="4" xr3:uid="{B1E9B394-2BB5-4C62-A6BA-2002BD6A5206}" uniqueName="4" name="From" queryTableFieldId="4" dataDxfId="45" dataCellStyle="Comma"/>
    <tableColumn id="5" xr3:uid="{4905949F-58C4-409C-9A2E-B37F5AF59845}" uniqueName="5" name="To" queryTableFieldId="5" dataDxfId="44" dataCellStyle="Comma"/>
    <tableColumn id="6" xr3:uid="{727672DE-061E-4A5A-9C44-370C6BE58FAC}" uniqueName="6" name="Repayment Year" queryTableFieldId="6" dataDxfId="43" dataCellStyle="Comma"/>
    <tableColumn id="7" xr3:uid="{7AA91737-DB38-439E-9D04-29AEC889AA31}" uniqueName="7" name="Project8" queryTableFieldId="7" dataDxfId="42" dataCellStyle="Comma"/>
    <tableColumn id="8" xr3:uid="{A857E2F6-E7E9-49BC-AB64-EC15E1701697}" uniqueName="8" name="Notes" queryTableFieldId="8" dataDxfId="41" dataCellStyle="Comma"/>
    <tableColumn id="9" xr3:uid="{583CD175-75C5-4277-8227-434289683EF0}" uniqueName="9" name="Total" queryTableFieldId="9" dataDxfId="40" dataCellStyle="Comma"/>
    <tableColumn id="10" xr3:uid="{C064942D-EF71-4124-9637-E0F74D11453B}" uniqueName="10" name="HURF EXCHANGE" queryTableFieldId="10" dataDxfId="39" dataCellStyle="Comma"/>
    <tableColumn id="11" xr3:uid="{43C47830-EC5B-4743-9F4A-30A15113D4E6}" uniqueName="11" name="HSIP" queryTableFieldId="11" dataDxfId="38" dataCellStyle="Comma"/>
    <tableColumn id="12" xr3:uid="{21F89D4B-B20E-4671-BEBC-B9FA323ECDA9}" uniqueName="12" name="PLAN" queryTableFieldId="12" dataDxfId="37" dataCellStyle="Comma"/>
    <tableColumn id="13" xr3:uid="{A554B514-FF3A-45E7-8EB4-73D1184BA2D0}" uniqueName="13" name="PLAN SATO" queryTableFieldId="13" dataDxfId="36" dataCellStyle="Comma"/>
    <tableColumn id="14" xr3:uid="{7136C275-1A1C-4BB4-AC9E-4B3180EEEA74}" uniqueName="14" name="SPR" queryTableFieldId="14" dataDxfId="35" dataCellStyle="Comma"/>
    <tableColumn id="15" xr3:uid="{D74DFB4B-5BAB-42BF-BE7B-02BE39433C98}" uniqueName="15" name="STP &lt;5" queryTableFieldId="15" dataDxfId="34" dataCellStyle="Comma"/>
    <tableColumn id="16" xr3:uid="{CED8B5FB-B7D7-4FE6-8ACB-0DDBD4C9BD82}" uniqueName="16" name="STP 5-2" queryTableFieldId="16" dataDxfId="33" dataCellStyle="Comma"/>
    <tableColumn id="17" xr3:uid="{68E3DE3F-9445-43F9-9CD0-CC5F4062DC3B}" uniqueName="17" name="STP 5-50" queryTableFieldId="17" dataDxfId="32" dataCellStyle="Comma"/>
    <tableColumn id="18" xr3:uid="{4BEEBFFC-9390-4977-A941-2C3021D7DA90}" uniqueName="18" name="STP 50-200" queryTableFieldId="18" dataDxfId="31" dataCellStyle="Comma"/>
    <tableColumn id="19" xr3:uid="{51DD238D-AF5B-4342-AD3B-9E09803F5FEA}" uniqueName="19" name="STP Flex" queryTableFieldId="19" dataDxfId="30" dataCellStyle="Comma"/>
    <tableColumn id="20" xr3:uid="{813D264C-CF38-467F-8BB1-119BFDC82D31}" uniqueName="20" name="TAP &lt;5" queryTableFieldId="20" dataDxfId="29" dataCellStyle="Comma"/>
    <tableColumn id="21" xr3:uid="{473D8770-4E71-49B0-9D99-2FB03C998FD5}" uniqueName="21" name="TAP 5-2" queryTableFieldId="21" dataDxfId="28" dataCellStyle="Comma"/>
    <tableColumn id="22" xr3:uid="{0DD31183-B14D-4CC5-B3EA-CF6EBB53FFDE}" uniqueName="22" name="TAP Flex" queryTableFieldId="22" dataDxfId="27" dataCellStyle="Comma"/>
    <tableColumn id="23" xr3:uid="{28310374-F1C6-441A-92B4-5D24541F276F}" uniqueName="23" name="CRP 50-200" queryTableFieldId="23" dataDxfId="26"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77:W138" tableType="queryTable" totalsRowShown="0" headerRowDxfId="25" dataDxfId="24" tableBorderDxfId="23" headerRowCellStyle="Comma" dataCellStyle="Comma">
  <autoFilter ref="A77:W138" xr:uid="{00000000-000C-0000-FFFF-FFFF03000000}"/>
  <tableColumns count="23">
    <tableColumn id="1" xr3:uid="{E325BCAB-6687-41AD-A4B5-39B8C036F6C3}" uniqueName="1" name="Transaction Year" queryTableFieldId="1" dataDxfId="22" dataCellStyle="Comma"/>
    <tableColumn id="2" xr3:uid="{7B8B9575-D370-4C75-A9CD-8B39B990576D}" uniqueName="2" name="Transaction Type" queryTableFieldId="2" dataDxfId="21" dataCellStyle="Comma"/>
    <tableColumn id="3" xr3:uid="{8C6B3A18-3506-455E-952E-EB00B13DE39B}" uniqueName="3" name="Number" queryTableFieldId="3" dataDxfId="20" dataCellStyle="Comma"/>
    <tableColumn id="4" xr3:uid="{E403F090-2C3E-4FAB-9DFA-A70A7FCF14A6}" uniqueName="4" name="From" queryTableFieldId="4" dataDxfId="19" dataCellStyle="Comma"/>
    <tableColumn id="5" xr3:uid="{7F183B60-921A-465C-9513-98459AA4C9BD}" uniqueName="5" name="To" queryTableFieldId="5" dataDxfId="18" dataCellStyle="Comma"/>
    <tableColumn id="6" xr3:uid="{03085927-752D-4776-B673-A1C48AC9F285}" uniqueName="6" name="Repayment Year" queryTableFieldId="6" dataDxfId="17" dataCellStyle="Comma"/>
    <tableColumn id="7" xr3:uid="{9B090136-5CED-4F9A-BADA-996E88ABB280}" uniqueName="7" name="Project8" queryTableFieldId="7" dataDxfId="16" dataCellStyle="Comma"/>
    <tableColumn id="8" xr3:uid="{DFD8B83E-A11B-4034-BBE9-54B4FB6BB3B1}" uniqueName="8" name="Notes" queryTableFieldId="8" dataDxfId="15" dataCellStyle="Comma"/>
    <tableColumn id="9" xr3:uid="{426D7C8C-D9BA-485B-8321-7695490EA8FC}" uniqueName="9" name="Total" queryTableFieldId="9" dataDxfId="14" dataCellStyle="Comma"/>
    <tableColumn id="10" xr3:uid="{EE2FB4A7-6D12-408D-96E5-CEB5A41FDEA5}" uniqueName="10" name="HURF EXCHANGE" queryTableFieldId="10" dataDxfId="13" dataCellStyle="Comma"/>
    <tableColumn id="11" xr3:uid="{53781361-BA7A-4E9E-82E1-FBC65AF4A61D}" uniqueName="11" name="HSIP" queryTableFieldId="11" dataDxfId="12" dataCellStyle="Comma"/>
    <tableColumn id="12" xr3:uid="{974A413B-BB56-4E21-B167-467FF8C250DD}" uniqueName="12" name="PLAN" queryTableFieldId="12" dataDxfId="11" dataCellStyle="Comma"/>
    <tableColumn id="13" xr3:uid="{479D9B4D-C733-41EA-805D-51F28EF8C374}" uniqueName="13" name="PLAN SATO" queryTableFieldId="13" dataDxfId="10" dataCellStyle="Comma"/>
    <tableColumn id="14" xr3:uid="{583E85BF-A3FF-4CAA-A95E-1FB854A20D10}" uniqueName="14" name="SPR" queryTableFieldId="14" dataDxfId="9" dataCellStyle="Comma"/>
    <tableColumn id="15" xr3:uid="{8525CF64-A444-4E4A-ADEE-9B29D559CE86}" uniqueName="15" name="STP &lt;5" queryTableFieldId="15" dataDxfId="8" dataCellStyle="Comma"/>
    <tableColumn id="16" xr3:uid="{83719D6D-E9CF-416F-B434-017B5FD91040}" uniqueName="16" name="STP 5-2" queryTableFieldId="16" dataDxfId="7" dataCellStyle="Comma"/>
    <tableColumn id="17" xr3:uid="{9FC61D0D-2B0E-4931-9E34-CD953596CB66}" uniqueName="17" name="STP 5-50" queryTableFieldId="17" dataDxfId="6" dataCellStyle="Comma"/>
    <tableColumn id="18" xr3:uid="{1E7C1658-EF56-44D4-A8D4-1D2AB4301CA2}" uniqueName="18" name="STP 50-200" queryTableFieldId="18" dataDxfId="5" dataCellStyle="Comma"/>
    <tableColumn id="19" xr3:uid="{F3AF99CE-B84E-41A8-9923-6E03338E21B5}" uniqueName="19" name="STP Flex" queryTableFieldId="19" dataDxfId="4" dataCellStyle="Comma"/>
    <tableColumn id="20" xr3:uid="{5F53E844-F797-4B25-9862-B4F974AE4210}" uniqueName="20" name="TAP &lt;5" queryTableFieldId="20" dataDxfId="3" dataCellStyle="Comma"/>
    <tableColumn id="21" xr3:uid="{76E6EABB-1E74-46DC-B15A-BAA98455CD62}" uniqueName="21" name="TAP 5-2" queryTableFieldId="21" dataDxfId="2" dataCellStyle="Comma"/>
    <tableColumn id="22" xr3:uid="{BD01771B-A624-4FD2-9933-3B3FBEB43F36}" uniqueName="22" name="TAP Flex" queryTableFieldId="22" dataDxfId="1" dataCellStyle="Comma"/>
    <tableColumn id="23" xr3:uid="{3755B0D8-7322-4E57-BBE7-1B9C4F69AF57}" uniqueName="23" name="CRP 50-200" queryTableFieldId="23" dataDxfId="0"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72"/>
  <sheetViews>
    <sheetView tabSelected="1" topLeftCell="A12" zoomScale="85" zoomScaleNormal="85" zoomScaleSheetLayoutView="115" workbookViewId="0">
      <selection sqref="A1:F1"/>
    </sheetView>
  </sheetViews>
  <sheetFormatPr defaultColWidth="32" defaultRowHeight="14.25" outlineLevelCol="1"/>
  <cols>
    <col min="1" max="1" width="12.7109375" style="23" customWidth="1"/>
    <col min="2" max="4" width="15.7109375" style="23" customWidth="1"/>
    <col min="5" max="5" width="40.7109375" style="23" customWidth="1"/>
    <col min="6" max="6" width="10.85546875" style="23" hidden="1" customWidth="1" outlineLevel="1"/>
    <col min="7" max="7" width="9.140625" style="23" hidden="1" customWidth="1" outlineLevel="1"/>
    <col min="8" max="8" width="9.28515625" style="23" hidden="1" customWidth="1" outlineLevel="1"/>
    <col min="9" max="9" width="16.28515625" style="142" bestFit="1" customWidth="1" collapsed="1"/>
    <col min="10" max="12" width="14.7109375" style="23" customWidth="1"/>
    <col min="13" max="13" width="18.7109375" style="23" customWidth="1"/>
    <col min="14" max="20" width="14.7109375" style="26" customWidth="1"/>
    <col min="21" max="21" width="16.7109375" style="23" customWidth="1"/>
    <col min="22" max="22" width="18.7109375" style="23" customWidth="1"/>
    <col min="23" max="23" width="19.42578125" style="23" bestFit="1" customWidth="1"/>
    <col min="24" max="24" width="17.42578125" style="23" bestFit="1" customWidth="1"/>
    <col min="25" max="25" width="19.140625" style="23" bestFit="1" customWidth="1"/>
    <col min="26" max="16384" width="32" style="23"/>
  </cols>
  <sheetData>
    <row r="1" spans="1:27" ht="23.25" customHeight="1">
      <c r="A1" s="199" t="s">
        <v>104</v>
      </c>
      <c r="B1" s="199"/>
      <c r="C1" s="199"/>
      <c r="D1" s="199"/>
      <c r="E1" s="199"/>
      <c r="F1" s="199"/>
      <c r="J1" s="24"/>
      <c r="K1" s="25"/>
      <c r="L1" s="24"/>
      <c r="M1" s="190" t="s">
        <v>74</v>
      </c>
      <c r="N1" s="190"/>
      <c r="O1" s="190"/>
      <c r="P1" s="190"/>
      <c r="Q1" s="190"/>
      <c r="R1" s="190"/>
      <c r="S1" s="190"/>
      <c r="T1" s="190"/>
      <c r="U1" s="190"/>
      <c r="V1" s="190"/>
      <c r="W1" s="190"/>
    </row>
    <row r="2" spans="1:27" ht="21" customHeight="1">
      <c r="J2" s="24"/>
      <c r="K2" s="24"/>
      <c r="L2" s="24"/>
      <c r="M2" s="198" t="s">
        <v>12</v>
      </c>
      <c r="N2" s="198"/>
      <c r="O2" s="198"/>
      <c r="P2" s="198"/>
      <c r="Q2" s="198"/>
      <c r="R2" s="198"/>
      <c r="S2" s="198"/>
      <c r="T2" s="198"/>
      <c r="U2" s="198"/>
      <c r="V2" s="198"/>
      <c r="W2" s="198"/>
    </row>
    <row r="3" spans="1:27" ht="27.6" customHeight="1">
      <c r="A3" s="205" t="s">
        <v>306</v>
      </c>
      <c r="B3" s="205"/>
      <c r="C3" s="205"/>
      <c r="D3" s="27"/>
      <c r="E3" s="27"/>
      <c r="F3" s="27"/>
      <c r="G3" s="27"/>
      <c r="J3" s="24"/>
      <c r="K3" s="59"/>
      <c r="L3" s="110" t="s">
        <v>11</v>
      </c>
      <c r="M3" s="111" t="s">
        <v>161</v>
      </c>
      <c r="N3" s="112" t="s">
        <v>57</v>
      </c>
      <c r="O3" s="112" t="s">
        <v>158</v>
      </c>
      <c r="P3" s="112" t="s">
        <v>209</v>
      </c>
      <c r="Q3" s="112" t="s">
        <v>53</v>
      </c>
      <c r="R3" s="112" t="s">
        <v>97</v>
      </c>
      <c r="S3" s="112" t="s">
        <v>99</v>
      </c>
      <c r="T3" s="112" t="s">
        <v>210</v>
      </c>
      <c r="U3" s="112" t="s">
        <v>211</v>
      </c>
      <c r="V3" s="112" t="s">
        <v>6</v>
      </c>
      <c r="W3" s="112" t="s">
        <v>212</v>
      </c>
      <c r="X3" s="112" t="s">
        <v>10</v>
      </c>
      <c r="Y3" s="124" t="s">
        <v>15</v>
      </c>
    </row>
    <row r="4" spans="1:27" ht="36">
      <c r="A4" s="179"/>
      <c r="E4" s="28"/>
      <c r="F4" s="28"/>
      <c r="G4" s="28"/>
      <c r="J4" s="24"/>
      <c r="K4" s="24"/>
      <c r="L4" s="113" t="s">
        <v>101</v>
      </c>
      <c r="M4" s="114">
        <v>0</v>
      </c>
      <c r="N4" s="115">
        <v>0</v>
      </c>
      <c r="O4" s="115">
        <v>0</v>
      </c>
      <c r="P4" s="115">
        <v>0</v>
      </c>
      <c r="Q4" s="115">
        <v>0</v>
      </c>
      <c r="R4" s="115">
        <v>0</v>
      </c>
      <c r="S4" s="115">
        <v>0</v>
      </c>
      <c r="T4" s="115">
        <v>0</v>
      </c>
      <c r="U4" s="115">
        <v>0</v>
      </c>
      <c r="V4" s="115">
        <v>0</v>
      </c>
      <c r="W4" s="115">
        <v>0</v>
      </c>
      <c r="X4" s="115">
        <f t="shared" ref="X4:X11" si="0">SUM(M4:W4)</f>
        <v>0</v>
      </c>
      <c r="Y4" s="125">
        <v>0</v>
      </c>
    </row>
    <row r="5" spans="1:27" ht="36">
      <c r="A5" s="194" t="s">
        <v>295</v>
      </c>
      <c r="B5" s="194"/>
      <c r="C5" s="194"/>
      <c r="D5" s="194"/>
      <c r="J5" s="24"/>
      <c r="K5" s="24"/>
      <c r="L5" s="116" t="s">
        <v>93</v>
      </c>
      <c r="M5" s="117">
        <v>0</v>
      </c>
      <c r="N5" s="118">
        <v>0</v>
      </c>
      <c r="O5" s="150">
        <f>+'FY26 Apportionments'!C4</f>
        <v>163020</v>
      </c>
      <c r="P5" s="155">
        <f>+'FY26 Apportionments'!C5</f>
        <v>4096</v>
      </c>
      <c r="Q5" s="119">
        <f>+'FY26 Apportionments'!D3</f>
        <v>125000</v>
      </c>
      <c r="R5" s="119">
        <f>+'FY26 Apportionments'!D9</f>
        <v>332119</v>
      </c>
      <c r="S5" s="67">
        <f>+'FY26 Apportionments'!D6</f>
        <v>0</v>
      </c>
      <c r="T5" s="155">
        <f>+'FY26 Apportionments'!D7</f>
        <v>151065</v>
      </c>
      <c r="U5" s="154">
        <f>+'FY26 Apportionments'!D8</f>
        <v>475562</v>
      </c>
      <c r="V5" s="67">
        <v>0</v>
      </c>
      <c r="W5" s="155">
        <f>+'FY26 Apportionments'!C10</f>
        <v>205007</v>
      </c>
      <c r="X5" s="118">
        <f t="shared" si="0"/>
        <v>1455869</v>
      </c>
      <c r="Y5" s="126">
        <f>ROUND(+'Federal Funds Transactions'!$X5*0.949,0)</f>
        <v>1381620</v>
      </c>
    </row>
    <row r="6" spans="1:27">
      <c r="A6" s="64" t="s">
        <v>77</v>
      </c>
      <c r="C6" s="149">
        <v>46024</v>
      </c>
      <c r="J6" s="24"/>
      <c r="K6" s="24"/>
      <c r="L6" s="113" t="s">
        <v>65</v>
      </c>
      <c r="M6" s="153">
        <f>SUMIFS(Table_Query_from_MS_Access_Database[[#All],[HURF EXCHANGE]],Table_Query_from_MS_Access_Database[[#All],[Transaction Year]],"2026",Table_Query_from_MS_Access_Database[[#All],[Transaction Type]],"loan in")</f>
        <v>0</v>
      </c>
      <c r="N6" s="156">
        <f>SUMIFS(Table_Query_from_MS_Access_Database[[#All],[HSIP]],Table_Query_from_MS_Access_Database[[#All],[Transaction Year]],"2026",Table_Query_from_MS_Access_Database[[#All],[Transaction Type]],"loan in")</f>
        <v>0</v>
      </c>
      <c r="O6" s="138">
        <f>SUMIFS(Table_Query_from_MS_Access_Database[[#All],[PLAN]],Table_Query_from_MS_Access_Database[[#All],[Transaction Year]],"2026",Table_Query_from_MS_Access_Database[[#All],[Transaction Type]],"loan in")</f>
        <v>0</v>
      </c>
      <c r="P6" s="138">
        <f>SUMIFS(Table_Query_from_MS_Access_Database[[#All],[PLAN SATO]],Table_Query_from_MS_Access_Database[[#All],[Transaction Year]],"2026",Table_Query_from_MS_Access_Database[[#All],[Transaction Type]],"loan in")</f>
        <v>0</v>
      </c>
      <c r="Q6" s="138">
        <f>SUMIFS(Table_Query_from_MS_Access_Database[[#All],[SPR]],Table_Query_from_MS_Access_Database[[#All],[Transaction Year]],"2026",Table_Query_from_MS_Access_Database[[#All],[Transaction Type]],"loan in")</f>
        <v>0</v>
      </c>
      <c r="R6" s="138">
        <f>SUMIFS(Table_Query_from_MS_Access_Database[[#All],[STP &lt;5]],Table_Query_from_MS_Access_Database[[#All],[Transaction Year]],"2026",Table_Query_from_MS_Access_Database[[#All],[Transaction Type]],"loan in")</f>
        <v>0</v>
      </c>
      <c r="S6" s="138">
        <f>SUMIFS(Table_Query_from_MS_Access_Database[[#All],[STP 5-2]],Table_Query_from_MS_Access_Database[[#All],[Transaction Year]],"2026",Table_Query_from_MS_Access_Database[[#All],[Transaction Type]],"loan in")</f>
        <v>0</v>
      </c>
      <c r="T6" s="138">
        <f>SUMIFS(Table_Query_from_MS_Access_Database[[#All],[STP 5-50]],Table_Query_from_MS_Access_Database[[#All],[Transaction Year]],"2026",Table_Query_from_MS_Access_Database[[#All],[Transaction Type]],"loan in")</f>
        <v>0</v>
      </c>
      <c r="U6" s="138">
        <f>SUMIFS(Table_Query_from_MS_Access_Database[[#All],[STP 50-200]],Table_Query_from_MS_Access_Database[[#All],[Transaction Year]],"2026",Table_Query_from_MS_Access_Database[[#All],[Transaction Type]],"loan in")</f>
        <v>0</v>
      </c>
      <c r="V6" s="138">
        <f>SUMIFS(Table_Query_from_MS_Access_Database[[#All],[STP Flex]],Table_Query_from_MS_Access_Database[[#All],[Transaction Year]],"2026",Table_Query_from_MS_Access_Database[[#All],[Transaction Type]],"loan in")</f>
        <v>0</v>
      </c>
      <c r="W6" s="138">
        <f>SUMIFS(Table_Query_from_MS_Access_Database[[#All],[CRP 50-200]],Table_Query_from_MS_Access_Database[[#All],[Transaction Year]],"2026",Table_Query_from_MS_Access_Database[[#All],[Transaction Type]],"loan in")</f>
        <v>0</v>
      </c>
      <c r="X6" s="115">
        <f t="shared" si="0"/>
        <v>0</v>
      </c>
      <c r="Y6" s="127">
        <f>SUMIFS(Table_Query_from_MS_Access_Database_16[[#All],[Total]],Table_Query_from_MS_Access_Database_16[[#All],[Transaction Year]],"2026",Table_Query_from_MS_Access_Database_16[[#All],[Transaction Type]],"Loan In")</f>
        <v>0</v>
      </c>
    </row>
    <row r="7" spans="1:27">
      <c r="A7" s="30"/>
      <c r="J7" s="24"/>
      <c r="K7" s="24"/>
      <c r="L7" s="116" t="s">
        <v>66</v>
      </c>
      <c r="M7" s="121">
        <f>SUMIFS(Table_Query_from_MS_Access_Database[[#All],[HURF EXCHANGE]],Table_Query_from_MS_Access_Database[[#All],[Transaction Year]],"2026",Table_Query_from_MS_Access_Database[[#All],[Transaction Type]],"loan Out")</f>
        <v>0</v>
      </c>
      <c r="N7" s="122">
        <f>SUMIFS(Table_Query_from_MS_Access_Database[[#All],[HSIP]],Table_Query_from_MS_Access_Database[[#All],[Transaction Year]],"2026",Table_Query_from_MS_Access_Database[[#All],[Transaction Type]],"loan Out")</f>
        <v>0</v>
      </c>
      <c r="O7" s="122">
        <f>SUMIFS(Table_Query_from_MS_Access_Database[[#All],[PLAN]],Table_Query_from_MS_Access_Database[[#All],[Transaction Year]],"2026",Table_Query_from_MS_Access_Database[[#All],[Transaction Type]],"loan Out")</f>
        <v>0</v>
      </c>
      <c r="P7" s="122">
        <f>SUMIFS(Table_Query_from_MS_Access_Database[[#All],[PLAN SATO]],Table_Query_from_MS_Access_Database[[#All],[Transaction Year]],"2026",Table_Query_from_MS_Access_Database[[#All],[Transaction Type]],"loan Out")</f>
        <v>0</v>
      </c>
      <c r="Q7" s="122">
        <f>SUMIFS(Table_Query_from_MS_Access_Database[[#All],[SPR]],Table_Query_from_MS_Access_Database[[#All],[Transaction Year]],"2026",Table_Query_from_MS_Access_Database[[#All],[Transaction Type]],"loan Out")</f>
        <v>0</v>
      </c>
      <c r="R7" s="122">
        <f>SUMIFS(Table_Query_from_MS_Access_Database[[#All],[STP &lt;5]],Table_Query_from_MS_Access_Database[[#All],[Transaction Year]],"2026",Table_Query_from_MS_Access_Database[[#All],[Transaction Type]],"loan Out")</f>
        <v>0</v>
      </c>
      <c r="S7" s="122">
        <f>SUMIFS(Table_Query_from_MS_Access_Database[[#All],[STP 5-2]],Table_Query_from_MS_Access_Database[[#All],[Transaction Year]],"2026",Table_Query_from_MS_Access_Database[[#All],[Transaction Type]],"loan Out")</f>
        <v>0</v>
      </c>
      <c r="T7" s="122">
        <f>SUMIFS(Table_Query_from_MS_Access_Database[[#All],[STP 5-50]],Table_Query_from_MS_Access_Database[[#All],[Transaction Year]],"2026",Table_Query_from_MS_Access_Database[[#All],[Transaction Type]],"loan Out")</f>
        <v>0</v>
      </c>
      <c r="U7" s="122">
        <f>SUMIFS(Table_Query_from_MS_Access_Database[[#All],[STP 50-200]],Table_Query_from_MS_Access_Database[[#All],[Transaction Year]],"2026",Table_Query_from_MS_Access_Database[[#All],[Transaction Type]],"loan Out")</f>
        <v>0</v>
      </c>
      <c r="V7" s="122">
        <f>SUMIFS(Table_Query_from_MS_Access_Database[[#All],[STP Flex]],Table_Query_from_MS_Access_Database[[#All],[Transaction Year]],"2026",Table_Query_from_MS_Access_Database[[#All],[Transaction Type]],"loan Out")</f>
        <v>0</v>
      </c>
      <c r="W7" s="122">
        <f>SUMIFS(Table_Query_from_MS_Access_Database[[#All],[CRP 50-200]],Table_Query_from_MS_Access_Database[[#All],[Transaction Year]],"2026",Table_Query_from_MS_Access_Database[[#All],[Transaction Type]],"loan Out")</f>
        <v>0</v>
      </c>
      <c r="X7" s="118">
        <f t="shared" si="0"/>
        <v>0</v>
      </c>
      <c r="Y7" s="128">
        <f>SUMIFS(Table_Query_from_MS_Access_Database_16[[#All],[Total]],Table_Query_from_MS_Access_Database_16[[#All],[Transaction Year]],"2026",Table_Query_from_MS_Access_Database_16[[#All],[Transaction Type]],"Loan Out")</f>
        <v>0</v>
      </c>
    </row>
    <row r="8" spans="1:27" ht="24">
      <c r="J8" s="24"/>
      <c r="K8" s="24"/>
      <c r="L8" s="113" t="s">
        <v>67</v>
      </c>
      <c r="M8" s="120">
        <f>SUMIFS(Table_Query_from_MS_Access_Database[[#All],[HURF EXCHANGE]],Table_Query_from_MS_Access_Database[[#All],[Transaction Year]],"2026",Table_Query_from_MS_Access_Database[[#All],[Transaction Type]],"repayment in")</f>
        <v>0</v>
      </c>
      <c r="N8" s="138">
        <f>SUMIFS(Table_Query_from_MS_Access_Database[[#All],[HSIP]],Table_Query_from_MS_Access_Database[[#All],[Transaction Year]],"2026",Table_Query_from_MS_Access_Database[[#All],[Transaction Type]],"repayment in")</f>
        <v>0</v>
      </c>
      <c r="O8" s="138">
        <f>SUMIFS(Table_Query_from_MS_Access_Database[[#All],[PLAN]],Table_Query_from_MS_Access_Database[[#All],[Transaction Year]],"2026",Table_Query_from_MS_Access_Database[[#All],[Transaction Type]],"repayment in")</f>
        <v>0</v>
      </c>
      <c r="P8" s="138">
        <f>SUMIFS(Table_Query_from_MS_Access_Database[[#All],[PLAN SATO]],Table_Query_from_MS_Access_Database[[#All],[Transaction Year]],"2026",Table_Query_from_MS_Access_Database[[#All],[Transaction Type]],"repayment in")</f>
        <v>0</v>
      </c>
      <c r="Q8" s="138">
        <f>SUMIFS(Table_Query_from_MS_Access_Database[[#All],[SPR]],Table_Query_from_MS_Access_Database[[#All],[Transaction Year]],"2026",Table_Query_from_MS_Access_Database[[#All],[Transaction Type]],"repayment in")</f>
        <v>0</v>
      </c>
      <c r="R8" s="138">
        <f>SUMIFS(Table_Query_from_MS_Access_Database[[#All],[STP &lt;5]],Table_Query_from_MS_Access_Database[[#All],[Transaction Year]],"2026",Table_Query_from_MS_Access_Database[[#All],[Transaction Type]],"repayment in")</f>
        <v>0</v>
      </c>
      <c r="S8" s="138">
        <f>SUMIFS(Table_Query_from_MS_Access_Database[[#All],[STP 5-2]],Table_Query_from_MS_Access_Database[[#All],[Transaction Year]],"2026",Table_Query_from_MS_Access_Database[[#All],[Transaction Type]],"repayment in")</f>
        <v>0</v>
      </c>
      <c r="T8" s="138">
        <f>SUMIFS(Table_Query_from_MS_Access_Database[[#All],[STP 5-50]],Table_Query_from_MS_Access_Database[[#All],[Transaction Year]],"2026",Table_Query_from_MS_Access_Database[[#All],[Transaction Type]],"repayment in")</f>
        <v>0</v>
      </c>
      <c r="U8" s="138">
        <f>SUMIFS(Table_Query_from_MS_Access_Database[[#All],[STP 50-200]],Table_Query_from_MS_Access_Database[[#All],[Transaction Year]],"2026",Table_Query_from_MS_Access_Database[[#All],[Transaction Type]],"repayment in")</f>
        <v>0</v>
      </c>
      <c r="V8" s="138">
        <f>SUMIFS(Table_Query_from_MS_Access_Database[[#All],[STP Flex]],Table_Query_from_MS_Access_Database[[#All],[Transaction Year]],"2026",Table_Query_from_MS_Access_Database[[#All],[Transaction Type]],"repayment in")</f>
        <v>0</v>
      </c>
      <c r="W8" s="138">
        <f>SUMIFS(Table_Query_from_MS_Access_Database[[#All],[CRP 50-200]],Table_Query_from_MS_Access_Database[[#All],[Transaction Year]],"2026",Table_Query_from_MS_Access_Database[[#All],[Transaction Type]],"repayment in")</f>
        <v>0</v>
      </c>
      <c r="X8" s="115">
        <f>SUM(M8:W8)</f>
        <v>0</v>
      </c>
      <c r="Y8" s="127">
        <f>SUMIFS(Table_Query_from_MS_Access_Database_16[[#All],[Total]],Table_Query_from_MS_Access_Database_16[[#All],[Transaction Year]],"2026",Table_Query_from_MS_Access_Database_16[[#All],[Transaction Type]],"repayment In")</f>
        <v>0</v>
      </c>
    </row>
    <row r="9" spans="1:27" ht="16.5" customHeight="1">
      <c r="A9" s="194" t="s">
        <v>81</v>
      </c>
      <c r="B9" s="194"/>
      <c r="C9" s="194"/>
      <c r="D9" s="194"/>
      <c r="E9" s="194"/>
      <c r="F9" s="194"/>
      <c r="G9" s="194"/>
      <c r="H9" s="194"/>
      <c r="I9" s="194"/>
      <c r="J9" s="194"/>
      <c r="L9" s="116" t="s">
        <v>68</v>
      </c>
      <c r="M9" s="121">
        <f>SUMIFS(Table_Query_from_MS_Access_Database[[#All],[HURF EXCHANGE]],Table_Query_from_MS_Access_Database[[#All],[Transaction Year]],"2026",Table_Query_from_MS_Access_Database[[#All],[Transaction Type]],"repayment Out")</f>
        <v>0</v>
      </c>
      <c r="N9" s="121">
        <f>SUMIFS(Table_Query_from_MS_Access_Database[[#All],[HSIP]],Table_Query_from_MS_Access_Database[[#All],[Transaction Year]],"2026",Table_Query_from_MS_Access_Database[[#All],[Transaction Type]],"repayment Out")</f>
        <v>0</v>
      </c>
      <c r="O9" s="121">
        <f>SUMIFS(Table_Query_from_MS_Access_Database[[#All],[PLAN]],Table_Query_from_MS_Access_Database[[#All],[Transaction Year]],"2026",Table_Query_from_MS_Access_Database[[#All],[Transaction Type]],"repayment Out")</f>
        <v>0</v>
      </c>
      <c r="P9" s="121">
        <f>SUMIFS(Table_Query_from_MS_Access_Database[[#All],[PLAN SATO]],Table_Query_from_MS_Access_Database[[#All],[Transaction Year]],"2026",Table_Query_from_MS_Access_Database[[#All],[Transaction Type]],"repayment Out")</f>
        <v>0</v>
      </c>
      <c r="Q9" s="121">
        <f>SUMIFS(Table_Query_from_MS_Access_Database[[#All],[SPR]],Table_Query_from_MS_Access_Database[[#All],[Transaction Year]],"2026",Table_Query_from_MS_Access_Database[[#All],[Transaction Type]],"repayment Out")</f>
        <v>0</v>
      </c>
      <c r="R9" s="121">
        <f>SUMIFS(Table_Query_from_MS_Access_Database[[#All],[STP &lt;5]],Table_Query_from_MS_Access_Database[[#All],[Transaction Year]],"2026",Table_Query_from_MS_Access_Database[[#All],[Transaction Type]],"repayment Out")</f>
        <v>0</v>
      </c>
      <c r="S9" s="121">
        <f>SUMIFS(Table_Query_from_MS_Access_Database[[#All],[STP 5-2]],Table_Query_from_MS_Access_Database[[#All],[Transaction Year]],"2026",Table_Query_from_MS_Access_Database[[#All],[Transaction Type]],"repayment Out")</f>
        <v>0</v>
      </c>
      <c r="T9" s="121">
        <f>SUMIFS(Table_Query_from_MS_Access_Database[[#All],[STP 5-50]],Table_Query_from_MS_Access_Database[[#All],[Transaction Year]],"2026",Table_Query_from_MS_Access_Database[[#All],[Transaction Type]],"repayment Out")</f>
        <v>0</v>
      </c>
      <c r="U9" s="121">
        <f>SUMIFS(Table_Query_from_MS_Access_Database[[#All],[STP 50-200]],Table_Query_from_MS_Access_Database[[#All],[Transaction Year]],"2026",Table_Query_from_MS_Access_Database[[#All],[Transaction Type]],"repayment Out")</f>
        <v>0</v>
      </c>
      <c r="V9" s="121">
        <f>SUMIFS(Table_Query_from_MS_Access_Database[[#All],[STP Flex]],Table_Query_from_MS_Access_Database[[#All],[Transaction Year]],"2026",Table_Query_from_MS_Access_Database[[#All],[Transaction Type]],"repayment Out")</f>
        <v>0</v>
      </c>
      <c r="W9" s="121">
        <f>SUMIFS(Table_Query_from_MS_Access_Database[[#All],[CRP 50-200]],Table_Query_from_MS_Access_Database[[#All],[Transaction Year]],"2026",Table_Query_from_MS_Access_Database[[#All],[Transaction Type]],"repayment Out")</f>
        <v>0</v>
      </c>
      <c r="X9" s="118">
        <f t="shared" si="0"/>
        <v>0</v>
      </c>
      <c r="Y9" s="128">
        <f>SUMIFS(Table_Query_from_MS_Access_Database_16[[#All],[Total]],Table_Query_from_MS_Access_Database_16[[#All],[Transaction Year]],"2026",Table_Query_from_MS_Access_Database_16[[#All],[Transaction Type]],"Repayment Out")</f>
        <v>0</v>
      </c>
    </row>
    <row r="10" spans="1:27">
      <c r="J10" s="24"/>
      <c r="K10" s="24"/>
      <c r="L10" s="113" t="s">
        <v>69</v>
      </c>
      <c r="M10" s="120">
        <f>SUMIFS(Table_Query_from_MS_Access_Database[[#All],[HURF EXCHANGE]],Table_Query_from_MS_Access_Database[[#All],[Transaction Year]],"2026",Table_Query_from_MS_Access_Database[[#All],[Transaction Type]],"Transfer in")</f>
        <v>0</v>
      </c>
      <c r="N10" s="138">
        <f>SUMIFS(Table_Query_from_MS_Access_Database[[#All],[HSIP]],Table_Query_from_MS_Access_Database[[#All],[Transaction Year]],"2026",Table_Query_from_MS_Access_Database[[#All],[Transaction Type]],"Transfer in")</f>
        <v>0</v>
      </c>
      <c r="O10" s="138">
        <f>SUMIFS(Table_Query_from_MS_Access_Database[[#All],[PLAN]],Table_Query_from_MS_Access_Database[[#All],[Transaction Year]],"2026",Table_Query_from_MS_Access_Database[[#All],[Transaction Type]],"Transfer in")</f>
        <v>0</v>
      </c>
      <c r="P10" s="138">
        <f>SUMIFS(Table_Query_from_MS_Access_Database[[#All],[PLAN SATO]],Table_Query_from_MS_Access_Database[[#All],[Transaction Year]],"2026",Table_Query_from_MS_Access_Database[[#All],[Transaction Type]],"Transfer in")</f>
        <v>0</v>
      </c>
      <c r="Q10" s="138">
        <f>SUMIFS(Table_Query_from_MS_Access_Database[[#All],[SPR]],Table_Query_from_MS_Access_Database[[#All],[Transaction Year]],"2026",Table_Query_from_MS_Access_Database[[#All],[Transaction Type]],"Transfer in")</f>
        <v>0</v>
      </c>
      <c r="R10" s="138">
        <f>SUMIFS(Table_Query_from_MS_Access_Database[[#All],[STP &lt;5]],Table_Query_from_MS_Access_Database[[#All],[Transaction Year]],"2026",Table_Query_from_MS_Access_Database[[#All],[Transaction Type]],"Transfer in")</f>
        <v>0</v>
      </c>
      <c r="S10" s="138">
        <f>SUMIFS(Table_Query_from_MS_Access_Database[[#All],[STP 5-2]],Table_Query_from_MS_Access_Database[[#All],[Transaction Year]],"2026",Table_Query_from_MS_Access_Database[[#All],[Transaction Type]],"Transfer in")</f>
        <v>0</v>
      </c>
      <c r="T10" s="138">
        <f>SUMIFS(Table_Query_from_MS_Access_Database[[#All],[STP 5-50]],Table_Query_from_MS_Access_Database[[#All],[Transaction Year]],"2026",Table_Query_from_MS_Access_Database[[#All],[Transaction Type]],"Transfer in")</f>
        <v>0</v>
      </c>
      <c r="U10" s="138">
        <f>SUMIFS(Table_Query_from_MS_Access_Database[[#All],[STP 50-200]],Table_Query_from_MS_Access_Database[[#All],[Transaction Year]],"2026",Table_Query_from_MS_Access_Database[[#All],[Transaction Type]],"Transfer in")</f>
        <v>0</v>
      </c>
      <c r="V10" s="138">
        <f>SUMIFS(Table_Query_from_MS_Access_Database[[#All],[STP Flex]],Table_Query_from_MS_Access_Database[[#All],[Transaction Year]],"2026",Table_Query_from_MS_Access_Database[[#All],[Transaction Type]],"Transfer in")</f>
        <v>0</v>
      </c>
      <c r="W10" s="138">
        <f>SUMIFS(Table_Query_from_MS_Access_Database[[#All],[CRP 50-200]],Table_Query_from_MS_Access_Database[[#All],[Transaction Year]],"2026",Table_Query_from_MS_Access_Database[[#All],[Transaction Type]],"Transfer in")</f>
        <v>0</v>
      </c>
      <c r="X10" s="115">
        <f t="shared" si="0"/>
        <v>0</v>
      </c>
      <c r="Y10" s="127">
        <f>SUMIFS(Table_Query_from_MS_Access_Database_16[[#All],[Total]],Table_Query_from_MS_Access_Database_16[[#All],[Transaction Year]],"2026",Table_Query_from_MS_Access_Database_16[[#All],[Transaction Type]],"Transfer In")</f>
        <v>0</v>
      </c>
    </row>
    <row r="11" spans="1:27">
      <c r="F11" s="31"/>
      <c r="G11" s="31"/>
      <c r="J11" s="24"/>
      <c r="K11" s="24"/>
      <c r="L11" s="116" t="s">
        <v>70</v>
      </c>
      <c r="M11" s="121">
        <f>SUMIFS(Table_Query_from_MS_Access_Database[[#All],[HURF EXCHANGE]],Table_Query_from_MS_Access_Database[[#All],[Transaction Year]],"2026",Table_Query_from_MS_Access_Database[[#All],[Transaction Type]],"Transfer Out")</f>
        <v>0</v>
      </c>
      <c r="N11" s="121">
        <f>SUMIFS(Table_Query_from_MS_Access_Database[[#All],[HSIP]],Table_Query_from_MS_Access_Database[[#All],[Transaction Year]],"2026",Table_Query_from_MS_Access_Database[[#All],[Transaction Type]],"Transfer Out")</f>
        <v>0</v>
      </c>
      <c r="O11" s="121">
        <f>SUMIFS(Table_Query_from_MS_Access_Database[[#All],[PLAN]],Table_Query_from_MS_Access_Database[[#All],[Transaction Year]],"2026",Table_Query_from_MS_Access_Database[[#All],[Transaction Type]],"Transfer Out")</f>
        <v>0</v>
      </c>
      <c r="P11" s="121">
        <f>SUMIFS(Table_Query_from_MS_Access_Database[[#All],[PLAN SATO]],Table_Query_from_MS_Access_Database[[#All],[Transaction Year]],"2026",Table_Query_from_MS_Access_Database[[#All],[Transaction Type]],"Transfer Out")</f>
        <v>0</v>
      </c>
      <c r="Q11" s="121">
        <f>SUMIFS(Table_Query_from_MS_Access_Database[[#All],[SPR]],Table_Query_from_MS_Access_Database[[#All],[Transaction Year]],"2026",Table_Query_from_MS_Access_Database[[#All],[Transaction Type]],"Transfer Out")</f>
        <v>0</v>
      </c>
      <c r="R11" s="121">
        <f>SUMIFS(Table_Query_from_MS_Access_Database[[#All],[STP &lt;5]],Table_Query_from_MS_Access_Database[[#All],[Transaction Year]],"2026",Table_Query_from_MS_Access_Database[[#All],[Transaction Type]],"Transfer Out")</f>
        <v>0</v>
      </c>
      <c r="S11" s="121">
        <f>SUMIFS(Table_Query_from_MS_Access_Database[[#All],[STP 5-2]],Table_Query_from_MS_Access_Database[[#All],[Transaction Year]],"2026",Table_Query_from_MS_Access_Database[[#All],[Transaction Type]],"Transfer Out")</f>
        <v>0</v>
      </c>
      <c r="T11" s="121">
        <f>SUMIFS(Table_Query_from_MS_Access_Database[[#All],[STP 5-50]],Table_Query_from_MS_Access_Database[[#All],[Transaction Year]],"2026",Table_Query_from_MS_Access_Database[[#All],[Transaction Type]],"Transfer Out")</f>
        <v>0</v>
      </c>
      <c r="U11" s="121">
        <f>SUMIFS(Table_Query_from_MS_Access_Database[[#All],[STP 50-200]],Table_Query_from_MS_Access_Database[[#All],[Transaction Year]],"2026",Table_Query_from_MS_Access_Database[[#All],[Transaction Type]],"Transfer Out")</f>
        <v>0</v>
      </c>
      <c r="V11" s="121">
        <f>SUMIFS(Table_Query_from_MS_Access_Database[[#All],[STP Flex]],Table_Query_from_MS_Access_Database[[#All],[Transaction Year]],"2026",Table_Query_from_MS_Access_Database[[#All],[Transaction Type]],"Transfer Out")</f>
        <v>0</v>
      </c>
      <c r="W11" s="121">
        <f>SUMIFS(Table_Query_from_MS_Access_Database[[#All],[CRP 50-200]],Table_Query_from_MS_Access_Database[[#All],[Transaction Year]],"2026",Table_Query_from_MS_Access_Database[[#All],[Transaction Type]],"Transfer Out")</f>
        <v>0</v>
      </c>
      <c r="X11" s="118">
        <f t="shared" si="0"/>
        <v>0</v>
      </c>
      <c r="Y11" s="128">
        <f>SUMIFS(Table_Query_from_MS_Access_Database_16[[#All],[Total]],Table_Query_from_MS_Access_Database_16[[#All],[Transaction Year]],"2026",Table_Query_from_MS_Access_Database_16[[#All],[Transaction Type]],"Transfer Out")</f>
        <v>0</v>
      </c>
    </row>
    <row r="12" spans="1:27" ht="48">
      <c r="J12" s="24"/>
      <c r="K12" s="24"/>
      <c r="L12" s="123" t="s">
        <v>100</v>
      </c>
      <c r="M12" s="129">
        <f t="shared" ref="M12:X12" si="1">SUM(M4:M11)</f>
        <v>0</v>
      </c>
      <c r="N12" s="159">
        <f t="shared" si="1"/>
        <v>0</v>
      </c>
      <c r="O12" s="159">
        <f t="shared" si="1"/>
        <v>163020</v>
      </c>
      <c r="P12" s="159">
        <f t="shared" si="1"/>
        <v>4096</v>
      </c>
      <c r="Q12" s="159">
        <f t="shared" si="1"/>
        <v>125000</v>
      </c>
      <c r="R12" s="159">
        <f t="shared" si="1"/>
        <v>332119</v>
      </c>
      <c r="S12" s="159">
        <f t="shared" si="1"/>
        <v>0</v>
      </c>
      <c r="T12" s="159">
        <f t="shared" si="1"/>
        <v>151065</v>
      </c>
      <c r="U12" s="159">
        <f t="shared" si="1"/>
        <v>475562</v>
      </c>
      <c r="V12" s="159">
        <f t="shared" si="1"/>
        <v>0</v>
      </c>
      <c r="W12" s="159">
        <f t="shared" si="1"/>
        <v>205007</v>
      </c>
      <c r="X12" s="159">
        <f t="shared" si="1"/>
        <v>1455869</v>
      </c>
      <c r="Y12" s="129">
        <f>SUM(Y4:Y11)</f>
        <v>1381620</v>
      </c>
      <c r="AA12" s="26"/>
    </row>
    <row r="13" spans="1:27">
      <c r="J13" s="24"/>
      <c r="K13" s="24"/>
      <c r="L13" s="24"/>
      <c r="M13" s="24"/>
      <c r="N13" s="32"/>
      <c r="O13" s="33"/>
      <c r="P13" s="33"/>
      <c r="Q13" s="33"/>
      <c r="R13" s="33"/>
      <c r="S13" s="33"/>
      <c r="T13" s="29"/>
    </row>
    <row r="14" spans="1:27" ht="15.75" customHeight="1">
      <c r="A14" s="200" t="s">
        <v>58</v>
      </c>
      <c r="B14" s="200"/>
      <c r="C14" s="200"/>
      <c r="D14" s="200"/>
      <c r="I14" s="191" t="s">
        <v>59</v>
      </c>
      <c r="J14" s="192"/>
      <c r="K14" s="192"/>
      <c r="L14" s="193"/>
      <c r="N14" s="34"/>
      <c r="R14" s="29"/>
      <c r="S14" s="29"/>
      <c r="T14" s="29"/>
    </row>
    <row r="15" spans="1:27" ht="22.9" customHeight="1">
      <c r="A15" s="57" t="s">
        <v>1</v>
      </c>
      <c r="B15" s="57" t="s">
        <v>0</v>
      </c>
      <c r="C15" s="57" t="s">
        <v>3</v>
      </c>
      <c r="D15" s="57" t="s">
        <v>79</v>
      </c>
      <c r="E15" s="57" t="s">
        <v>2</v>
      </c>
      <c r="F15" s="57" t="s">
        <v>44</v>
      </c>
      <c r="G15" s="57" t="s">
        <v>45</v>
      </c>
      <c r="H15" s="57" t="s">
        <v>46</v>
      </c>
      <c r="I15" s="143" t="s">
        <v>47</v>
      </c>
      <c r="J15" s="160" t="s">
        <v>48</v>
      </c>
      <c r="K15" s="160" t="s">
        <v>49</v>
      </c>
      <c r="L15" s="57" t="s">
        <v>50</v>
      </c>
      <c r="M15" s="57" t="s">
        <v>161</v>
      </c>
      <c r="N15" s="87" t="s">
        <v>4</v>
      </c>
      <c r="O15" s="57" t="s">
        <v>40</v>
      </c>
      <c r="P15" s="57" t="s">
        <v>209</v>
      </c>
      <c r="Q15" s="58" t="s">
        <v>5</v>
      </c>
      <c r="R15" s="58" t="s">
        <v>97</v>
      </c>
      <c r="S15" s="58" t="s">
        <v>162</v>
      </c>
      <c r="T15" s="58" t="s">
        <v>210</v>
      </c>
      <c r="U15" s="160" t="s">
        <v>211</v>
      </c>
      <c r="V15" s="160" t="s">
        <v>51</v>
      </c>
      <c r="W15" s="160" t="s">
        <v>212</v>
      </c>
      <c r="X15" s="161" t="s">
        <v>80</v>
      </c>
      <c r="Y15" s="161" t="s">
        <v>222</v>
      </c>
    </row>
    <row r="16" spans="1:27" s="37" customFormat="1" ht="12">
      <c r="A16" s="37" t="s">
        <v>239</v>
      </c>
      <c r="B16" s="37" t="s">
        <v>228</v>
      </c>
      <c r="C16" s="37" t="s">
        <v>107</v>
      </c>
      <c r="D16" s="37" t="s">
        <v>8</v>
      </c>
      <c r="E16" s="94" t="s">
        <v>276</v>
      </c>
      <c r="F16" s="94" t="s">
        <v>183</v>
      </c>
      <c r="G16" s="94" t="s">
        <v>238</v>
      </c>
      <c r="H16" s="94" t="s">
        <v>236</v>
      </c>
      <c r="I16" s="86">
        <v>45931</v>
      </c>
      <c r="J16" s="86">
        <v>45931</v>
      </c>
      <c r="K16" s="86">
        <v>45931</v>
      </c>
      <c r="L16" s="86">
        <v>45931</v>
      </c>
      <c r="M16" s="86"/>
      <c r="N16" s="95"/>
      <c r="O16" s="95">
        <v>118351.47</v>
      </c>
      <c r="P16" s="95"/>
      <c r="Q16" s="95"/>
      <c r="R16" s="68"/>
      <c r="S16" s="68"/>
      <c r="T16" s="68"/>
      <c r="U16" s="68"/>
      <c r="V16" s="68"/>
      <c r="W16" s="68"/>
      <c r="X16" s="165">
        <f>SUM(Table_Query_from_MS_Access_Database8[[#This Row],[HURF EX]:[CRP 50-200]])</f>
        <v>118351.47</v>
      </c>
      <c r="Y16" s="165">
        <f ca="1">IF(ISTEXT(INDIRECT(ADDRESS(ROW()-1,COLUMN()))), INDIRECT(ADDRESS(12,COLUMN())),INDIRECT(ADDRESS(ROW()-1,COLUMN())))-Table_Query_from_MS_Access_Database8[[#This Row],[TOTAL OF AMOUNT]]</f>
        <v>1263268.53</v>
      </c>
      <c r="Z16" s="42"/>
    </row>
    <row r="17" spans="1:26" ht="13.9" customHeight="1">
      <c r="A17" s="185" t="s">
        <v>275</v>
      </c>
      <c r="B17" s="185" t="s">
        <v>228</v>
      </c>
      <c r="C17" s="185" t="s">
        <v>107</v>
      </c>
      <c r="D17" s="185" t="s">
        <v>8</v>
      </c>
      <c r="E17" s="94" t="s">
        <v>277</v>
      </c>
      <c r="F17" s="94" t="s">
        <v>183</v>
      </c>
      <c r="G17" s="94" t="s">
        <v>229</v>
      </c>
      <c r="H17" s="94" t="s">
        <v>236</v>
      </c>
      <c r="I17" s="86"/>
      <c r="J17" s="86">
        <v>45945</v>
      </c>
      <c r="K17" s="86">
        <v>45957</v>
      </c>
      <c r="L17" s="86">
        <v>45958</v>
      </c>
      <c r="M17" s="86"/>
      <c r="N17" s="95"/>
      <c r="O17" s="95"/>
      <c r="P17" s="95"/>
      <c r="Q17" s="95"/>
      <c r="R17" s="68">
        <v>166427</v>
      </c>
      <c r="S17" s="68">
        <v>153115.43</v>
      </c>
      <c r="T17" s="68">
        <v>58142</v>
      </c>
      <c r="U17" s="68">
        <v>7377.14</v>
      </c>
      <c r="V17" s="68"/>
      <c r="W17" s="68"/>
      <c r="X17" s="165">
        <f>SUM(Table_Query_from_MS_Access_Database8[[#This Row],[HURF EX]:[CRP 50-200]])</f>
        <v>385061.57</v>
      </c>
      <c r="Y17" s="165">
        <f ca="1">IF(ISTEXT(INDIRECT(ADDRESS(ROW()-1,COLUMN()))), INDIRECT(ADDRESS(12,COLUMN())),INDIRECT(ADDRESS(ROW()-1,COLUMN())))-Table_Query_from_MS_Access_Database8[[#This Row],[TOTAL OF AMOUNT]]</f>
        <v>878206.96</v>
      </c>
    </row>
    <row r="18" spans="1:26" ht="13.9" customHeight="1">
      <c r="A18" s="185" t="s">
        <v>239</v>
      </c>
      <c r="B18" s="185" t="s">
        <v>228</v>
      </c>
      <c r="C18" s="185" t="s">
        <v>107</v>
      </c>
      <c r="D18" s="185" t="s">
        <v>8</v>
      </c>
      <c r="E18" s="94" t="s">
        <v>276</v>
      </c>
      <c r="F18" s="94" t="s">
        <v>183</v>
      </c>
      <c r="G18" s="94" t="s">
        <v>238</v>
      </c>
      <c r="H18" s="94" t="s">
        <v>236</v>
      </c>
      <c r="I18" s="86"/>
      <c r="J18" s="86">
        <v>45938</v>
      </c>
      <c r="K18" s="86">
        <v>45953</v>
      </c>
      <c r="L18" s="86">
        <v>45958</v>
      </c>
      <c r="M18" s="86"/>
      <c r="N18" s="95"/>
      <c r="O18" s="95">
        <v>124139.08</v>
      </c>
      <c r="P18" s="95"/>
      <c r="Q18" s="95"/>
      <c r="R18" s="68"/>
      <c r="S18" s="68"/>
      <c r="T18" s="68"/>
      <c r="U18" s="68"/>
      <c r="V18" s="68"/>
      <c r="W18" s="68"/>
      <c r="X18" s="165">
        <f>SUM(Table_Query_from_MS_Access_Database8[[#This Row],[HURF EX]:[CRP 50-200]])</f>
        <v>124139.08</v>
      </c>
      <c r="Y18" s="165">
        <f ca="1">IF(ISTEXT(INDIRECT(ADDRESS(ROW()-1,COLUMN()))), INDIRECT(ADDRESS(12,COLUMN())),INDIRECT(ADDRESS(ROW()-1,COLUMN())))-Table_Query_from_MS_Access_Database8[[#This Row],[TOTAL OF AMOUNT]]</f>
        <v>754067.88</v>
      </c>
    </row>
    <row r="19" spans="1:26" ht="13.9" customHeight="1">
      <c r="A19" s="185" t="s">
        <v>279</v>
      </c>
      <c r="B19" s="185" t="s">
        <v>228</v>
      </c>
      <c r="C19" s="185" t="s">
        <v>107</v>
      </c>
      <c r="D19" s="185" t="s">
        <v>8</v>
      </c>
      <c r="E19" s="94" t="s">
        <v>280</v>
      </c>
      <c r="F19" s="94" t="s">
        <v>183</v>
      </c>
      <c r="G19" s="94" t="s">
        <v>184</v>
      </c>
      <c r="H19" s="94" t="s">
        <v>236</v>
      </c>
      <c r="I19" s="86"/>
      <c r="J19" s="86">
        <v>45951</v>
      </c>
      <c r="K19" s="86">
        <v>45954</v>
      </c>
      <c r="L19" s="86">
        <v>45958</v>
      </c>
      <c r="M19" s="86"/>
      <c r="N19" s="95"/>
      <c r="O19" s="95"/>
      <c r="P19" s="95"/>
      <c r="Q19" s="95">
        <v>105165.16</v>
      </c>
      <c r="R19" s="68"/>
      <c r="S19" s="68"/>
      <c r="T19" s="68"/>
      <c r="U19" s="68"/>
      <c r="V19" s="68"/>
      <c r="W19" s="68"/>
      <c r="X19" s="165">
        <f>SUM(Table_Query_from_MS_Access_Database8[[#This Row],[HURF EX]:[CRP 50-200]])</f>
        <v>105165.16</v>
      </c>
      <c r="Y19" s="165">
        <f ca="1">IF(ISTEXT(INDIRECT(ADDRESS(ROW()-1,COLUMN()))), INDIRECT(ADDRESS(12,COLUMN())),INDIRECT(ADDRESS(ROW()-1,COLUMN())))-Table_Query_from_MS_Access_Database8[[#This Row],[TOTAL OF AMOUNT]]</f>
        <v>648902.72</v>
      </c>
    </row>
    <row r="20" spans="1:26" s="37" customFormat="1" ht="13.15" customHeight="1">
      <c r="A20" s="185" t="s">
        <v>298</v>
      </c>
      <c r="B20" s="185" t="s">
        <v>299</v>
      </c>
      <c r="C20" s="185" t="s">
        <v>107</v>
      </c>
      <c r="D20" s="185" t="s">
        <v>8</v>
      </c>
      <c r="E20" s="94" t="s">
        <v>300</v>
      </c>
      <c r="F20" s="94" t="s">
        <v>183</v>
      </c>
      <c r="G20" s="94" t="s">
        <v>229</v>
      </c>
      <c r="H20" s="94" t="s">
        <v>301</v>
      </c>
      <c r="I20" s="86"/>
      <c r="J20" s="86">
        <v>45945</v>
      </c>
      <c r="K20" s="86">
        <v>45957</v>
      </c>
      <c r="L20" s="86">
        <v>45958</v>
      </c>
      <c r="M20" s="86"/>
      <c r="N20" s="95"/>
      <c r="O20" s="95"/>
      <c r="P20" s="95"/>
      <c r="Q20" s="95"/>
      <c r="R20" s="68">
        <v>-166427</v>
      </c>
      <c r="S20" s="68">
        <v>-153115.43</v>
      </c>
      <c r="T20" s="68">
        <v>-58142</v>
      </c>
      <c r="U20" s="68">
        <v>-7377.14</v>
      </c>
      <c r="V20" s="68"/>
      <c r="W20" s="68"/>
      <c r="X20" s="165">
        <f>SUM(Table_Query_from_MS_Access_Database8[[#This Row],[HURF EX]:[CRP 50-200]])</f>
        <v>-385061.57</v>
      </c>
      <c r="Y20" s="165">
        <f ca="1">IF(ISTEXT(INDIRECT(ADDRESS(ROW()-1,COLUMN()))), INDIRECT(ADDRESS(12,COLUMN())),INDIRECT(ADDRESS(ROW()-1,COLUMN())))-Table_Query_from_MS_Access_Database8[[#This Row],[TOTAL OF AMOUNT]]</f>
        <v>1033964.29</v>
      </c>
      <c r="Z20" s="42"/>
    </row>
    <row r="21" spans="1:26" s="37" customFormat="1" ht="13.15" customHeight="1">
      <c r="A21" s="185" t="s">
        <v>302</v>
      </c>
      <c r="B21" s="185" t="s">
        <v>291</v>
      </c>
      <c r="C21" s="185" t="s">
        <v>107</v>
      </c>
      <c r="D21" s="185" t="s">
        <v>8</v>
      </c>
      <c r="E21" s="94" t="s">
        <v>303</v>
      </c>
      <c r="F21" s="94" t="s">
        <v>183</v>
      </c>
      <c r="G21" s="94" t="s">
        <v>238</v>
      </c>
      <c r="H21" s="94" t="s">
        <v>301</v>
      </c>
      <c r="I21" s="86"/>
      <c r="J21" s="86">
        <v>45938</v>
      </c>
      <c r="K21" s="86">
        <v>45953</v>
      </c>
      <c r="L21" s="86">
        <v>45958</v>
      </c>
      <c r="M21" s="86"/>
      <c r="N21" s="95"/>
      <c r="O21" s="95">
        <v>-124139.08</v>
      </c>
      <c r="P21" s="95"/>
      <c r="Q21" s="95"/>
      <c r="R21" s="68"/>
      <c r="S21" s="68"/>
      <c r="T21" s="68"/>
      <c r="U21" s="68"/>
      <c r="V21" s="68"/>
      <c r="W21" s="68"/>
      <c r="X21" s="165">
        <f>SUM(Table_Query_from_MS_Access_Database8[[#This Row],[HURF EX]:[CRP 50-200]])</f>
        <v>-124139.08</v>
      </c>
      <c r="Y21" s="165">
        <f ca="1">IF(ISTEXT(INDIRECT(ADDRESS(ROW()-1,COLUMN()))), INDIRECT(ADDRESS(12,COLUMN())),INDIRECT(ADDRESS(ROW()-1,COLUMN())))-Table_Query_from_MS_Access_Database8[[#This Row],[TOTAL OF AMOUNT]]</f>
        <v>1158103.3700000001</v>
      </c>
      <c r="Z21" s="42"/>
    </row>
    <row r="22" spans="1:26" s="37" customFormat="1" ht="13.15" customHeight="1">
      <c r="A22" s="185" t="s">
        <v>304</v>
      </c>
      <c r="B22" s="185" t="s">
        <v>228</v>
      </c>
      <c r="C22" s="185" t="s">
        <v>107</v>
      </c>
      <c r="D22" s="185" t="s">
        <v>8</v>
      </c>
      <c r="E22" s="94" t="s">
        <v>305</v>
      </c>
      <c r="F22" s="94" t="s">
        <v>183</v>
      </c>
      <c r="G22" s="94" t="s">
        <v>184</v>
      </c>
      <c r="H22" s="94" t="s">
        <v>301</v>
      </c>
      <c r="I22" s="86"/>
      <c r="J22" s="86">
        <v>45951</v>
      </c>
      <c r="K22" s="86">
        <v>45954</v>
      </c>
      <c r="L22" s="86">
        <v>45958</v>
      </c>
      <c r="M22" s="86"/>
      <c r="N22" s="95"/>
      <c r="O22" s="95"/>
      <c r="P22" s="95"/>
      <c r="Q22" s="95">
        <v>-105165.16</v>
      </c>
      <c r="R22" s="68"/>
      <c r="S22" s="68"/>
      <c r="T22" s="68"/>
      <c r="U22" s="68"/>
      <c r="V22" s="68"/>
      <c r="W22" s="68"/>
      <c r="X22" s="165">
        <f>SUM(Table_Query_from_MS_Access_Database8[[#This Row],[HURF EX]:[CRP 50-200]])</f>
        <v>-105165.16</v>
      </c>
      <c r="Y22" s="165">
        <f ca="1">IF(ISTEXT(INDIRECT(ADDRESS(ROW()-1,COLUMN()))), INDIRECT(ADDRESS(12,COLUMN())),INDIRECT(ADDRESS(ROW()-1,COLUMN())))-Table_Query_from_MS_Access_Database8[[#This Row],[TOTAL OF AMOUNT]]</f>
        <v>1263268.53</v>
      </c>
      <c r="Z22" s="42"/>
    </row>
    <row r="23" spans="1:26" s="37" customFormat="1" ht="13.15" customHeight="1">
      <c r="A23" s="185" t="s">
        <v>272</v>
      </c>
      <c r="B23" s="185" t="s">
        <v>273</v>
      </c>
      <c r="C23" s="185" t="s">
        <v>107</v>
      </c>
      <c r="D23" s="185" t="s">
        <v>8</v>
      </c>
      <c r="E23" s="94" t="s">
        <v>278</v>
      </c>
      <c r="F23" s="94" t="s">
        <v>183</v>
      </c>
      <c r="G23" s="94" t="s">
        <v>274</v>
      </c>
      <c r="H23" s="94" t="s">
        <v>236</v>
      </c>
      <c r="I23" s="86"/>
      <c r="J23" s="86">
        <v>45980</v>
      </c>
      <c r="K23" s="86">
        <v>45982</v>
      </c>
      <c r="L23" s="86">
        <v>45985</v>
      </c>
      <c r="M23" s="86"/>
      <c r="N23" s="95"/>
      <c r="O23" s="95"/>
      <c r="P23" s="95"/>
      <c r="Q23" s="95"/>
      <c r="R23" s="68"/>
      <c r="S23" s="68"/>
      <c r="T23" s="68"/>
      <c r="U23" s="68"/>
      <c r="V23" s="68"/>
      <c r="W23" s="68">
        <v>184255.01</v>
      </c>
      <c r="X23" s="165">
        <f>SUM(Table_Query_from_MS_Access_Database8[[#This Row],[HURF EX]:[CRP 50-200]])</f>
        <v>184255.01</v>
      </c>
      <c r="Y23" s="165">
        <f ca="1">IF(ISTEXT(INDIRECT(ADDRESS(ROW()-1,COLUMN()))), INDIRECT(ADDRESS(12,COLUMN())),INDIRECT(ADDRESS(ROW()-1,COLUMN())))-Table_Query_from_MS_Access_Database8[[#This Row],[TOTAL OF AMOUNT]]</f>
        <v>1079013.52</v>
      </c>
      <c r="Z23" s="42"/>
    </row>
    <row r="24" spans="1:26" s="37" customFormat="1" ht="13.15" customHeight="1">
      <c r="A24" s="185" t="s">
        <v>309</v>
      </c>
      <c r="B24" s="185" t="s">
        <v>273</v>
      </c>
      <c r="C24" s="185" t="s">
        <v>107</v>
      </c>
      <c r="D24" s="185" t="s">
        <v>8</v>
      </c>
      <c r="E24" s="94" t="s">
        <v>310</v>
      </c>
      <c r="F24" s="94" t="s">
        <v>183</v>
      </c>
      <c r="G24" s="94" t="s">
        <v>274</v>
      </c>
      <c r="H24" s="94" t="s">
        <v>301</v>
      </c>
      <c r="I24" s="86"/>
      <c r="J24" s="86">
        <v>45980</v>
      </c>
      <c r="K24" s="86">
        <v>45982</v>
      </c>
      <c r="L24" s="86">
        <v>45985</v>
      </c>
      <c r="M24" s="86"/>
      <c r="N24" s="95"/>
      <c r="O24" s="95"/>
      <c r="P24" s="95"/>
      <c r="Q24" s="95"/>
      <c r="R24" s="68"/>
      <c r="S24" s="68"/>
      <c r="T24" s="68"/>
      <c r="U24" s="68"/>
      <c r="V24" s="68"/>
      <c r="W24" s="68">
        <v>-184255.01</v>
      </c>
      <c r="X24" s="165">
        <f>SUM(Table_Query_from_MS_Access_Database8[[#This Row],[HURF EX]:[CRP 50-200]])</f>
        <v>-184255.01</v>
      </c>
      <c r="Y24" s="165">
        <f ca="1">IF(ISTEXT(INDIRECT(ADDRESS(ROW()-1,COLUMN()))), INDIRECT(ADDRESS(12,COLUMN())),INDIRECT(ADDRESS(ROW()-1,COLUMN())))-Table_Query_from_MS_Access_Database8[[#This Row],[TOTAL OF AMOUNT]]</f>
        <v>1263268.53</v>
      </c>
      <c r="Z24" s="42"/>
    </row>
    <row r="25" spans="1:26" s="37" customFormat="1" ht="13.15" customHeight="1">
      <c r="A25" s="185" t="s">
        <v>272</v>
      </c>
      <c r="B25" s="185" t="s">
        <v>273</v>
      </c>
      <c r="C25" s="185" t="s">
        <v>107</v>
      </c>
      <c r="D25" s="185" t="s">
        <v>22</v>
      </c>
      <c r="E25" s="94" t="s">
        <v>278</v>
      </c>
      <c r="F25" s="94" t="s">
        <v>183</v>
      </c>
      <c r="G25" s="94" t="s">
        <v>274</v>
      </c>
      <c r="H25" s="94" t="s">
        <v>236</v>
      </c>
      <c r="I25" s="86">
        <v>45931</v>
      </c>
      <c r="J25" s="86">
        <v>45995</v>
      </c>
      <c r="K25" s="86">
        <v>46000</v>
      </c>
      <c r="L25" s="86">
        <v>46001</v>
      </c>
      <c r="M25" s="86"/>
      <c r="N25" s="95"/>
      <c r="O25" s="95"/>
      <c r="P25" s="95"/>
      <c r="Q25" s="95"/>
      <c r="R25" s="68"/>
      <c r="S25" s="68"/>
      <c r="T25" s="68"/>
      <c r="U25" s="68"/>
      <c r="V25" s="68"/>
      <c r="W25" s="68">
        <v>200987</v>
      </c>
      <c r="X25" s="165">
        <f>SUM(Table_Query_from_MS_Access_Database8[[#This Row],[HURF EX]:[CRP 50-200]])</f>
        <v>200987</v>
      </c>
      <c r="Y25" s="165">
        <f ca="1">IF(ISTEXT(INDIRECT(ADDRESS(ROW()-1,COLUMN()))), INDIRECT(ADDRESS(12,COLUMN())),INDIRECT(ADDRESS(ROW()-1,COLUMN())))-Table_Query_from_MS_Access_Database8[[#This Row],[TOTAL OF AMOUNT]]</f>
        <v>1062281.53</v>
      </c>
      <c r="Z25" s="42"/>
    </row>
    <row r="26" spans="1:26" s="37" customFormat="1" ht="13.15" customHeight="1">
      <c r="A26" s="185" t="s">
        <v>279</v>
      </c>
      <c r="B26" s="185" t="s">
        <v>228</v>
      </c>
      <c r="C26" s="185" t="s">
        <v>107</v>
      </c>
      <c r="D26" s="185" t="s">
        <v>22</v>
      </c>
      <c r="E26" s="94" t="s">
        <v>280</v>
      </c>
      <c r="F26" s="94" t="s">
        <v>183</v>
      </c>
      <c r="G26" s="94" t="s">
        <v>184</v>
      </c>
      <c r="H26" s="94" t="s">
        <v>236</v>
      </c>
      <c r="I26" s="86">
        <v>45931</v>
      </c>
      <c r="J26" s="86">
        <v>45995</v>
      </c>
      <c r="K26" s="86">
        <v>46000</v>
      </c>
      <c r="L26" s="86">
        <v>46001</v>
      </c>
      <c r="M26" s="86"/>
      <c r="N26" s="95"/>
      <c r="O26" s="95"/>
      <c r="P26" s="95"/>
      <c r="Q26" s="95">
        <v>55302.32</v>
      </c>
      <c r="R26" s="68"/>
      <c r="S26" s="68"/>
      <c r="T26" s="68"/>
      <c r="U26" s="68"/>
      <c r="V26" s="68"/>
      <c r="W26" s="68"/>
      <c r="X26" s="165">
        <f>SUM(Table_Query_from_MS_Access_Database8[[#This Row],[HURF EX]:[CRP 50-200]])</f>
        <v>55302.32</v>
      </c>
      <c r="Y26" s="165">
        <f ca="1">IF(ISTEXT(INDIRECT(ADDRESS(ROW()-1,COLUMN()))), INDIRECT(ADDRESS(12,COLUMN())),INDIRECT(ADDRESS(ROW()-1,COLUMN())))-Table_Query_from_MS_Access_Database8[[#This Row],[TOTAL OF AMOUNT]]</f>
        <v>1006979.2100000001</v>
      </c>
      <c r="Z26" s="42"/>
    </row>
    <row r="27" spans="1:26" s="37" customFormat="1" ht="13.15" customHeight="1">
      <c r="A27" s="185" t="s">
        <v>275</v>
      </c>
      <c r="B27" s="185" t="s">
        <v>228</v>
      </c>
      <c r="C27" s="185" t="s">
        <v>107</v>
      </c>
      <c r="D27" s="185" t="s">
        <v>22</v>
      </c>
      <c r="E27" s="94" t="s">
        <v>277</v>
      </c>
      <c r="F27" s="94" t="s">
        <v>183</v>
      </c>
      <c r="G27" s="94" t="s">
        <v>229</v>
      </c>
      <c r="H27" s="94" t="s">
        <v>236</v>
      </c>
      <c r="I27" s="86">
        <v>45931</v>
      </c>
      <c r="J27" s="86">
        <v>45995</v>
      </c>
      <c r="K27" s="86">
        <v>46006</v>
      </c>
      <c r="L27" s="86">
        <v>46007</v>
      </c>
      <c r="M27" s="86"/>
      <c r="N27" s="95"/>
      <c r="O27" s="95"/>
      <c r="P27" s="95"/>
      <c r="Q27" s="95"/>
      <c r="R27" s="68">
        <v>332119</v>
      </c>
      <c r="S27" s="68"/>
      <c r="T27" s="68">
        <v>151065</v>
      </c>
      <c r="U27" s="68">
        <v>475562</v>
      </c>
      <c r="V27" s="68"/>
      <c r="W27" s="68"/>
      <c r="X27" s="165">
        <f>SUM(Table_Query_from_MS_Access_Database8[[#This Row],[HURF EX]:[CRP 50-200]])</f>
        <v>958746</v>
      </c>
      <c r="Y27" s="165">
        <f ca="1">IF(ISTEXT(INDIRECT(ADDRESS(ROW()-1,COLUMN()))), INDIRECT(ADDRESS(12,COLUMN())),INDIRECT(ADDRESS(ROW()-1,COLUMN())))-Table_Query_from_MS_Access_Database8[[#This Row],[TOTAL OF AMOUNT]]</f>
        <v>48233.210000000079</v>
      </c>
      <c r="Z27" s="42"/>
    </row>
    <row r="28" spans="1:26" s="63" customFormat="1" ht="18.75" customHeight="1">
      <c r="A28" s="37"/>
      <c r="B28" s="37"/>
      <c r="C28" s="37"/>
      <c r="D28" s="37"/>
      <c r="E28" s="35"/>
      <c r="F28" s="35"/>
      <c r="G28" s="35"/>
      <c r="H28" s="35"/>
      <c r="I28" s="144"/>
      <c r="J28" s="35"/>
      <c r="K28" s="201" t="s">
        <v>72</v>
      </c>
      <c r="L28" s="202"/>
      <c r="M28" s="152">
        <f>SUM(Table_Query_from_MS_Access_Database8[[#All],[HURF EX]])</f>
        <v>0</v>
      </c>
      <c r="N28" s="152">
        <f>SUM(Table_Query_from_MS_Access_Database8[[#All],[HSIP]])</f>
        <v>0</v>
      </c>
      <c r="O28" s="152">
        <f>SUM(Table_Query_from_MS_Access_Database8[[#All],[PL]])</f>
        <v>118351.46999999999</v>
      </c>
      <c r="P28" s="152">
        <f>SUM(Table_Query_from_MS_Access_Database8[[#All],[PL-SATO]])</f>
        <v>0</v>
      </c>
      <c r="Q28" s="152">
        <f>SUM(Table_Query_from_MS_Access_Database8[[#All],[SPR]])</f>
        <v>55302.32</v>
      </c>
      <c r="R28" s="152">
        <f>SUM(Table_Query_from_MS_Access_Database8[[#All],[STP &lt;5]])</f>
        <v>332119</v>
      </c>
      <c r="S28" s="152">
        <f>SUM(Table_Query_from_MS_Access_Database8[[#All],[STP 5-200]])</f>
        <v>0</v>
      </c>
      <c r="T28" s="152">
        <f>SUM(Table_Query_from_MS_Access_Database8[[#All],[STP 5-50]])</f>
        <v>151065</v>
      </c>
      <c r="U28" s="152">
        <f>SUM(Table_Query_from_MS_Access_Database8[[#All],[STP 50-200]])</f>
        <v>475562</v>
      </c>
      <c r="V28" s="152">
        <f>SUM(Table_Query_from_MS_Access_Database8[[#All],[STP OTHER]])</f>
        <v>0</v>
      </c>
      <c r="W28" s="152">
        <f>SUM(Table_Query_from_MS_Access_Database8[[#All],[CRP 50-200]])</f>
        <v>200987</v>
      </c>
      <c r="X28" s="152">
        <f>SUM(Table_Query_from_MS_Access_Database8[[#All],[TOTAL OF AMOUNT]])</f>
        <v>1333386.79</v>
      </c>
      <c r="Y28" s="166"/>
    </row>
    <row r="29" spans="1:26" s="37" customFormat="1" ht="15" customHeight="1">
      <c r="A29" s="63"/>
      <c r="B29" s="63"/>
      <c r="C29" s="63"/>
      <c r="D29" s="63"/>
      <c r="E29" s="35"/>
      <c r="F29" s="35"/>
      <c r="G29" s="35"/>
      <c r="H29" s="35"/>
      <c r="I29" s="144"/>
      <c r="J29" s="35"/>
      <c r="K29" s="203" t="s">
        <v>71</v>
      </c>
      <c r="L29" s="204"/>
      <c r="M29" s="151">
        <f t="shared" ref="M29:X29" si="2">+M12-M28</f>
        <v>0</v>
      </c>
      <c r="N29" s="151">
        <f t="shared" si="2"/>
        <v>0</v>
      </c>
      <c r="O29" s="151">
        <f t="shared" si="2"/>
        <v>44668.530000000013</v>
      </c>
      <c r="P29" s="151">
        <f t="shared" si="2"/>
        <v>4096</v>
      </c>
      <c r="Q29" s="151">
        <f t="shared" si="2"/>
        <v>69697.679999999993</v>
      </c>
      <c r="R29" s="151">
        <f t="shared" si="2"/>
        <v>0</v>
      </c>
      <c r="S29" s="151">
        <f t="shared" si="2"/>
        <v>0</v>
      </c>
      <c r="T29" s="151">
        <f t="shared" si="2"/>
        <v>0</v>
      </c>
      <c r="U29" s="151">
        <f t="shared" si="2"/>
        <v>0</v>
      </c>
      <c r="V29" s="151">
        <f t="shared" si="2"/>
        <v>0</v>
      </c>
      <c r="W29" s="151">
        <f t="shared" si="2"/>
        <v>4020</v>
      </c>
      <c r="X29" s="151">
        <f t="shared" si="2"/>
        <v>122482.20999999996</v>
      </c>
      <c r="Y29" s="167"/>
    </row>
    <row r="30" spans="1:26" s="37" customFormat="1" ht="12.75">
      <c r="A30" s="39"/>
      <c r="B30" s="39"/>
      <c r="C30" s="39"/>
      <c r="D30" s="39"/>
      <c r="E30" s="36"/>
      <c r="F30" s="36"/>
      <c r="G30" s="36"/>
      <c r="H30" s="36"/>
      <c r="I30" s="145"/>
      <c r="J30" s="36"/>
      <c r="K30" s="36"/>
      <c r="L30" s="36"/>
      <c r="M30" s="39"/>
      <c r="N30" s="39"/>
      <c r="O30" s="39"/>
      <c r="P30" s="39"/>
      <c r="Q30" s="39"/>
      <c r="R30" s="39"/>
      <c r="S30" s="29"/>
      <c r="V30" s="42"/>
    </row>
    <row r="31" spans="1:26" ht="15.75">
      <c r="A31" s="200" t="s">
        <v>227</v>
      </c>
      <c r="B31" s="200"/>
      <c r="C31" s="200"/>
      <c r="D31" s="200"/>
      <c r="E31" s="38"/>
      <c r="F31" s="38"/>
      <c r="G31" s="39"/>
      <c r="H31" s="39"/>
      <c r="I31" s="146"/>
      <c r="J31" s="41"/>
      <c r="K31" s="40"/>
      <c r="L31" s="40"/>
      <c r="M31" s="40"/>
      <c r="N31" s="40"/>
      <c r="O31" s="29"/>
      <c r="P31" s="29"/>
      <c r="Q31" s="36"/>
      <c r="R31" s="36"/>
      <c r="S31" s="29"/>
      <c r="T31" s="37"/>
      <c r="U31" s="37"/>
      <c r="V31" s="56"/>
    </row>
    <row r="32" spans="1:26" ht="34.5" customHeight="1">
      <c r="A32" s="160" t="s">
        <v>1</v>
      </c>
      <c r="B32" s="160" t="s">
        <v>0</v>
      </c>
      <c r="C32" s="160" t="s">
        <v>3</v>
      </c>
      <c r="D32" s="160" t="s">
        <v>79</v>
      </c>
      <c r="E32" s="160" t="s">
        <v>2</v>
      </c>
      <c r="F32" s="160" t="s">
        <v>44</v>
      </c>
      <c r="G32" s="160" t="s">
        <v>45</v>
      </c>
      <c r="H32" s="160" t="s">
        <v>46</v>
      </c>
      <c r="I32" s="147" t="s">
        <v>47</v>
      </c>
      <c r="J32" s="160" t="s">
        <v>48</v>
      </c>
      <c r="K32" s="160" t="s">
        <v>49</v>
      </c>
      <c r="L32" s="160" t="s">
        <v>50</v>
      </c>
      <c r="M32" s="160" t="s">
        <v>161</v>
      </c>
      <c r="N32" s="160" t="s">
        <v>4</v>
      </c>
      <c r="O32" s="160" t="s">
        <v>40</v>
      </c>
      <c r="P32" s="160" t="s">
        <v>209</v>
      </c>
      <c r="Q32" s="160" t="s">
        <v>5</v>
      </c>
      <c r="R32" s="160" t="s">
        <v>97</v>
      </c>
      <c r="S32" s="160" t="s">
        <v>162</v>
      </c>
      <c r="T32" s="160" t="s">
        <v>210</v>
      </c>
      <c r="U32" s="160" t="s">
        <v>211</v>
      </c>
      <c r="V32" s="160" t="s">
        <v>51</v>
      </c>
      <c r="W32" s="141" t="s">
        <v>212</v>
      </c>
      <c r="X32" s="160" t="s">
        <v>80</v>
      </c>
      <c r="Y32" s="160" t="s">
        <v>222</v>
      </c>
    </row>
    <row r="33" spans="1:37" ht="29.25" customHeight="1">
      <c r="A33" s="37" t="s">
        <v>239</v>
      </c>
      <c r="B33" s="37" t="s">
        <v>228</v>
      </c>
      <c r="C33" s="37" t="s">
        <v>107</v>
      </c>
      <c r="D33" s="37" t="s">
        <v>22</v>
      </c>
      <c r="E33" s="55" t="s">
        <v>276</v>
      </c>
      <c r="F33" s="88" t="s">
        <v>183</v>
      </c>
      <c r="G33" s="89" t="s">
        <v>238</v>
      </c>
      <c r="H33" s="89" t="s">
        <v>236</v>
      </c>
      <c r="I33" s="86">
        <v>46174</v>
      </c>
      <c r="J33" s="96"/>
      <c r="K33" s="96"/>
      <c r="L33" s="96"/>
      <c r="M33" s="96"/>
      <c r="N33" s="95"/>
      <c r="O33" s="95">
        <v>44668.32</v>
      </c>
      <c r="P33" s="95"/>
      <c r="Q33" s="95"/>
      <c r="R33" s="68"/>
      <c r="S33" s="68"/>
      <c r="T33" s="68"/>
      <c r="U33" s="68"/>
      <c r="V33" s="68"/>
      <c r="W33" s="137"/>
      <c r="X33" s="168">
        <f>SUM(Table_Query_from_MS_Access_Database_1[[#This Row],[HURF EX]:[CRP 50-200]])</f>
        <v>44668.32</v>
      </c>
      <c r="Y33" s="139">
        <f ca="1">IF(ISTEXT(INDIRECT(ADDRESS(ROW()-1,COLUMN()))),INDIRECT(ADDRESS(12,COLUMN()))-SUM(Table_Query_from_MS_Access_Database8[TOTAL OF AMOUNT]),INDIRECT(ADDRESS(ROW()-1,COLUMN())))-Table_Query_from_MS_Access_Database_1[[#This Row],[TOTAL OF AMOUNT]]</f>
        <v>3564.889999999963</v>
      </c>
    </row>
    <row r="34" spans="1:37" ht="29.25" customHeight="1">
      <c r="A34" s="42" t="s">
        <v>275</v>
      </c>
      <c r="B34" s="42" t="s">
        <v>228</v>
      </c>
      <c r="C34" s="42" t="s">
        <v>107</v>
      </c>
      <c r="D34" s="42" t="s">
        <v>8</v>
      </c>
      <c r="E34" s="55" t="s">
        <v>277</v>
      </c>
      <c r="F34" s="88" t="s">
        <v>183</v>
      </c>
      <c r="G34" s="89" t="s">
        <v>229</v>
      </c>
      <c r="H34" s="89" t="s">
        <v>236</v>
      </c>
      <c r="I34" s="86">
        <v>46023</v>
      </c>
      <c r="J34" s="96"/>
      <c r="K34" s="96"/>
      <c r="L34" s="96"/>
      <c r="M34" s="96"/>
      <c r="N34" s="95"/>
      <c r="O34" s="95"/>
      <c r="P34" s="95"/>
      <c r="Q34" s="95"/>
      <c r="R34" s="68">
        <v>-5000</v>
      </c>
      <c r="S34" s="68"/>
      <c r="T34" s="68"/>
      <c r="U34" s="68"/>
      <c r="V34" s="68"/>
      <c r="W34" s="42"/>
      <c r="X34" s="171">
        <f>SUM(Table_Query_from_MS_Access_Database_1[[#This Row],[HURF EX]:[CRP 50-200]])</f>
        <v>-5000</v>
      </c>
      <c r="Y34" s="139">
        <f ca="1">IF(ISTEXT(INDIRECT(ADDRESS(ROW()-1,COLUMN()))),INDIRECT(ADDRESS(12,COLUMN()))-SUM(Table_Query_from_MS_Access_Database8[TOTAL OF AMOUNT]),INDIRECT(ADDRESS(ROW()-1,COLUMN())))-Table_Query_from_MS_Access_Database_1[[#This Row],[TOTAL OF AMOUNT]]</f>
        <v>8564.889999999963</v>
      </c>
    </row>
    <row r="35" spans="1:37" ht="29.25" customHeight="1">
      <c r="A35" s="42" t="s">
        <v>290</v>
      </c>
      <c r="B35" s="42" t="s">
        <v>291</v>
      </c>
      <c r="C35" s="42" t="s">
        <v>292</v>
      </c>
      <c r="D35" s="42" t="s">
        <v>7</v>
      </c>
      <c r="E35" s="55" t="s">
        <v>293</v>
      </c>
      <c r="F35" s="88" t="s">
        <v>294</v>
      </c>
      <c r="G35" s="89" t="s">
        <v>185</v>
      </c>
      <c r="H35" s="89" t="s">
        <v>186</v>
      </c>
      <c r="I35" s="86">
        <v>46174</v>
      </c>
      <c r="J35" s="96"/>
      <c r="K35" s="96"/>
      <c r="L35" s="96"/>
      <c r="M35" s="96"/>
      <c r="N35" s="95"/>
      <c r="O35" s="95"/>
      <c r="P35" s="95"/>
      <c r="Q35" s="95"/>
      <c r="R35" s="68">
        <v>5000</v>
      </c>
      <c r="S35" s="68"/>
      <c r="T35" s="68"/>
      <c r="U35" s="68"/>
      <c r="V35" s="68"/>
      <c r="W35" s="42"/>
      <c r="X35" s="171">
        <f>SUM(Table_Query_from_MS_Access_Database_1[[#This Row],[HURF EX]:[CRP 50-200]])</f>
        <v>5000</v>
      </c>
      <c r="Y35" s="139">
        <f ca="1">IF(ISTEXT(INDIRECT(ADDRESS(ROW()-1,COLUMN()))),INDIRECT(ADDRESS(12,COLUMN()))-SUM(Table_Query_from_MS_Access_Database8[TOTAL OF AMOUNT]),INDIRECT(ADDRESS(ROW()-1,COLUMN())))-Table_Query_from_MS_Access_Database_1[[#This Row],[TOTAL OF AMOUNT]]</f>
        <v>3564.889999999963</v>
      </c>
    </row>
    <row r="36" spans="1:37" ht="29.25" hidden="1" customHeight="1">
      <c r="A36" s="42"/>
      <c r="B36" s="42"/>
      <c r="C36" s="42"/>
      <c r="D36" s="42"/>
      <c r="E36" s="55"/>
      <c r="F36" s="88"/>
      <c r="G36" s="89"/>
      <c r="H36" s="89"/>
      <c r="I36" s="86"/>
      <c r="J36" s="96"/>
      <c r="K36" s="96"/>
      <c r="L36" s="96"/>
      <c r="M36" s="96"/>
      <c r="N36" s="95"/>
      <c r="O36" s="95"/>
      <c r="P36" s="95"/>
      <c r="Q36" s="95"/>
      <c r="R36" s="68"/>
      <c r="S36" s="68"/>
      <c r="T36" s="68"/>
      <c r="U36" s="68"/>
      <c r="V36" s="68"/>
      <c r="W36" s="42"/>
      <c r="X36" s="171"/>
      <c r="Y36" s="171"/>
    </row>
    <row r="37" spans="1:37" ht="29.25" hidden="1" customHeight="1">
      <c r="A37" s="42"/>
      <c r="B37" s="42"/>
      <c r="C37" s="42"/>
      <c r="D37" s="42"/>
      <c r="E37" s="55"/>
      <c r="F37" s="88"/>
      <c r="G37" s="89"/>
      <c r="H37" s="89"/>
      <c r="I37" s="86"/>
      <c r="J37" s="96"/>
      <c r="K37" s="96"/>
      <c r="L37" s="96"/>
      <c r="M37" s="96"/>
      <c r="N37" s="95"/>
      <c r="O37" s="95"/>
      <c r="P37" s="95"/>
      <c r="Q37" s="95"/>
      <c r="R37" s="68"/>
      <c r="S37" s="68"/>
      <c r="T37" s="68"/>
      <c r="U37" s="68"/>
      <c r="V37" s="68"/>
      <c r="W37" s="42"/>
      <c r="X37" s="171"/>
      <c r="Y37" s="171"/>
      <c r="AK37" s="174">
        <v>30824.97</v>
      </c>
    </row>
    <row r="38" spans="1:37" ht="29.25" hidden="1" customHeight="1">
      <c r="A38" s="42"/>
      <c r="B38" s="42"/>
      <c r="C38" s="42"/>
      <c r="D38" s="42"/>
      <c r="E38" s="55"/>
      <c r="F38" s="88"/>
      <c r="G38" s="89"/>
      <c r="H38" s="89"/>
      <c r="I38" s="86"/>
      <c r="J38" s="96"/>
      <c r="K38" s="96"/>
      <c r="L38" s="96"/>
      <c r="M38" s="96"/>
      <c r="N38" s="95"/>
      <c r="O38" s="95"/>
      <c r="P38" s="95"/>
      <c r="Q38" s="95"/>
      <c r="R38" s="68"/>
      <c r="S38" s="68"/>
      <c r="T38" s="68"/>
      <c r="U38" s="68"/>
      <c r="V38" s="68"/>
      <c r="W38" s="42"/>
      <c r="X38" s="171"/>
      <c r="Y38" s="171"/>
      <c r="AK38" s="187">
        <v>10947.03</v>
      </c>
    </row>
    <row r="39" spans="1:37" ht="29.25" hidden="1" customHeight="1">
      <c r="A39" s="42"/>
      <c r="B39" s="42"/>
      <c r="C39" s="42"/>
      <c r="D39" s="42"/>
      <c r="E39" s="55"/>
      <c r="F39" s="88"/>
      <c r="G39" s="89"/>
      <c r="H39" s="89"/>
      <c r="I39" s="86"/>
      <c r="J39" s="96"/>
      <c r="K39" s="96"/>
      <c r="L39" s="96"/>
      <c r="M39" s="96"/>
      <c r="N39" s="95"/>
      <c r="O39" s="95"/>
      <c r="P39" s="95"/>
      <c r="Q39" s="95"/>
      <c r="R39" s="68"/>
      <c r="S39" s="68"/>
      <c r="T39" s="68"/>
      <c r="U39" s="68"/>
      <c r="V39" s="68"/>
      <c r="W39" s="42"/>
      <c r="X39" s="171"/>
      <c r="Y39" s="171"/>
    </row>
    <row r="40" spans="1:37" ht="29.25" hidden="1" customHeight="1">
      <c r="A40" s="42"/>
      <c r="B40" s="42"/>
      <c r="C40" s="42"/>
      <c r="D40" s="42"/>
      <c r="E40" s="55"/>
      <c r="F40" s="88"/>
      <c r="G40" s="89"/>
      <c r="H40" s="89"/>
      <c r="I40" s="86"/>
      <c r="J40" s="96"/>
      <c r="K40" s="96"/>
      <c r="L40" s="96"/>
      <c r="M40" s="96"/>
      <c r="N40" s="95"/>
      <c r="O40" s="95"/>
      <c r="P40" s="95"/>
      <c r="Q40" s="95"/>
      <c r="R40" s="68"/>
      <c r="S40" s="68"/>
      <c r="T40" s="68"/>
      <c r="U40" s="68"/>
      <c r="V40" s="68"/>
      <c r="W40" s="42"/>
      <c r="X40" s="175"/>
      <c r="Y40" s="175"/>
    </row>
    <row r="41" spans="1:37" ht="29.25" hidden="1" customHeight="1">
      <c r="A41" s="42"/>
      <c r="B41" s="42"/>
      <c r="C41" s="42"/>
      <c r="D41" s="42"/>
      <c r="E41" s="55"/>
      <c r="F41" s="88"/>
      <c r="G41" s="89"/>
      <c r="H41" s="89"/>
      <c r="I41" s="86"/>
      <c r="J41" s="96"/>
      <c r="K41" s="96"/>
      <c r="L41" s="96"/>
      <c r="M41" s="96"/>
      <c r="N41" s="95"/>
      <c r="O41" s="95"/>
      <c r="P41" s="95"/>
      <c r="Q41" s="95"/>
      <c r="R41" s="68"/>
      <c r="S41" s="68"/>
      <c r="T41" s="68"/>
      <c r="U41" s="68"/>
      <c r="V41" s="68"/>
      <c r="W41" s="42"/>
      <c r="X41" s="171"/>
      <c r="Y41" s="171"/>
    </row>
    <row r="42" spans="1:37">
      <c r="A42" s="37"/>
      <c r="B42" s="37"/>
      <c r="C42" s="37"/>
      <c r="D42" s="37"/>
      <c r="E42" s="37"/>
      <c r="F42" s="37"/>
      <c r="G42" s="37"/>
      <c r="H42" s="37"/>
      <c r="I42" s="148"/>
      <c r="J42" s="42"/>
      <c r="K42" s="196" t="s">
        <v>223</v>
      </c>
      <c r="L42" s="197"/>
      <c r="M42" s="151">
        <f>SUM(Table_Query_from_MS_Access_Database_1[HURF EX])</f>
        <v>0</v>
      </c>
      <c r="N42" s="151">
        <f>SUM(Table_Query_from_MS_Access_Database_1[HSIP])</f>
        <v>0</v>
      </c>
      <c r="O42" s="151">
        <f>SUM(Table_Query_from_MS_Access_Database_1[PL])</f>
        <v>44668.32</v>
      </c>
      <c r="P42" s="151">
        <f>SUM(Table_Query_from_MS_Access_Database_1[PL-SATO])</f>
        <v>0</v>
      </c>
      <c r="Q42" s="151">
        <f>SUM(Table_Query_from_MS_Access_Database_1[SPR])</f>
        <v>0</v>
      </c>
      <c r="R42" s="151">
        <f>SUM(Table_Query_from_MS_Access_Database_1[STP &lt;5])</f>
        <v>0</v>
      </c>
      <c r="S42" s="151">
        <f>SUM(Table_Query_from_MS_Access_Database_1[STP 5-200])</f>
        <v>0</v>
      </c>
      <c r="T42" s="151">
        <f>SUM(Table_Query_from_MS_Access_Database_1[STP 5-50])</f>
        <v>0</v>
      </c>
      <c r="U42" s="151">
        <f>SUM(Table_Query_from_MS_Access_Database_1[STP 50-200])</f>
        <v>0</v>
      </c>
      <c r="V42" s="151">
        <f>SUM(Table_Query_from_MS_Access_Database_1[STP OTHER])</f>
        <v>0</v>
      </c>
      <c r="W42" s="151">
        <f>SUM(Table_Query_from_MS_Access_Database_1[[#All],[CRP 50-200]])</f>
        <v>0</v>
      </c>
      <c r="X42" s="151">
        <f>SUM(Table_Query_from_MS_Access_Database_1[TOTAL OF AMOUNT])</f>
        <v>44668.32</v>
      </c>
      <c r="AK42" s="174">
        <f>SUM(AK37:AK38)</f>
        <v>41772</v>
      </c>
    </row>
    <row r="43" spans="1:37">
      <c r="A43" s="37"/>
      <c r="B43" s="37"/>
      <c r="C43" s="37"/>
      <c r="D43" s="37"/>
      <c r="E43" s="37"/>
      <c r="F43" s="37"/>
      <c r="G43" s="37"/>
      <c r="H43" s="37"/>
      <c r="I43" s="148"/>
      <c r="J43" s="42"/>
      <c r="K43" s="196" t="s">
        <v>71</v>
      </c>
      <c r="L43" s="197"/>
      <c r="M43" s="151">
        <f t="shared" ref="M43:X43" si="3">+M29-M42</f>
        <v>0</v>
      </c>
      <c r="N43" s="151">
        <f t="shared" si="3"/>
        <v>0</v>
      </c>
      <c r="O43" s="151">
        <f t="shared" si="3"/>
        <v>0.2100000000136788</v>
      </c>
      <c r="P43" s="151">
        <f t="shared" si="3"/>
        <v>4096</v>
      </c>
      <c r="Q43" s="151">
        <f t="shared" si="3"/>
        <v>69697.679999999993</v>
      </c>
      <c r="R43" s="151">
        <f t="shared" si="3"/>
        <v>0</v>
      </c>
      <c r="S43" s="151">
        <f t="shared" si="3"/>
        <v>0</v>
      </c>
      <c r="T43" s="151">
        <f t="shared" si="3"/>
        <v>0</v>
      </c>
      <c r="U43" s="151">
        <f t="shared" si="3"/>
        <v>0</v>
      </c>
      <c r="V43" s="151">
        <f t="shared" si="3"/>
        <v>0</v>
      </c>
      <c r="W43" s="151">
        <f t="shared" si="3"/>
        <v>4020</v>
      </c>
      <c r="X43" s="151">
        <f t="shared" si="3"/>
        <v>77813.889999999956</v>
      </c>
    </row>
    <row r="44" spans="1:37">
      <c r="J44" s="26"/>
      <c r="K44" s="26"/>
      <c r="L44" s="26"/>
      <c r="M44" s="172">
        <f t="shared" ref="M44:X44" si="4">+M28+M42</f>
        <v>0</v>
      </c>
      <c r="N44" s="172">
        <f t="shared" si="4"/>
        <v>0</v>
      </c>
      <c r="O44" s="172">
        <f t="shared" si="4"/>
        <v>163019.78999999998</v>
      </c>
      <c r="P44" s="172">
        <f t="shared" si="4"/>
        <v>0</v>
      </c>
      <c r="Q44" s="172">
        <f t="shared" si="4"/>
        <v>55302.32</v>
      </c>
      <c r="R44" s="172">
        <f t="shared" si="4"/>
        <v>332119</v>
      </c>
      <c r="S44" s="172">
        <f t="shared" si="4"/>
        <v>0</v>
      </c>
      <c r="T44" s="172">
        <f t="shared" si="4"/>
        <v>151065</v>
      </c>
      <c r="U44" s="172">
        <f t="shared" si="4"/>
        <v>475562</v>
      </c>
      <c r="V44" s="172">
        <f t="shared" si="4"/>
        <v>0</v>
      </c>
      <c r="W44" s="172">
        <f t="shared" si="4"/>
        <v>200987</v>
      </c>
      <c r="X44" s="172">
        <f t="shared" si="4"/>
        <v>1378055.11</v>
      </c>
    </row>
    <row r="45" spans="1:37">
      <c r="J45" s="26"/>
      <c r="K45" s="26"/>
      <c r="L45" s="26"/>
      <c r="M45" s="162"/>
      <c r="N45" s="162"/>
      <c r="O45" s="162"/>
      <c r="P45" s="162"/>
      <c r="Q45" s="162"/>
      <c r="R45" s="162"/>
      <c r="S45" s="162"/>
      <c r="T45" s="162"/>
      <c r="U45" s="162"/>
      <c r="V45" s="162"/>
      <c r="W45" s="162"/>
      <c r="X45" s="162"/>
    </row>
    <row r="46" spans="1:37">
      <c r="J46" s="26"/>
      <c r="K46" s="26"/>
      <c r="L46" s="26"/>
      <c r="M46" s="162"/>
      <c r="N46" s="162"/>
      <c r="O46" s="162"/>
      <c r="P46" s="162"/>
      <c r="Q46" s="162"/>
      <c r="R46" s="162"/>
      <c r="S46" s="162"/>
      <c r="T46" s="162"/>
      <c r="U46" s="162"/>
      <c r="V46" s="162"/>
      <c r="W46" s="162"/>
      <c r="X46" s="162"/>
    </row>
    <row r="47" spans="1:37">
      <c r="J47" s="26"/>
      <c r="K47" s="26"/>
      <c r="L47" s="26"/>
      <c r="M47" s="26"/>
      <c r="R47" s="23"/>
      <c r="S47" s="23"/>
      <c r="T47" s="42"/>
      <c r="U47" s="63"/>
      <c r="V47" s="37"/>
    </row>
    <row r="48" spans="1:37" ht="17.25" customHeight="1">
      <c r="A48" s="43" t="s">
        <v>73</v>
      </c>
      <c r="J48" s="26"/>
      <c r="K48" s="26"/>
      <c r="L48" s="26"/>
      <c r="M48" s="195" t="s">
        <v>55</v>
      </c>
      <c r="N48" s="195"/>
      <c r="O48" s="195"/>
      <c r="P48" s="195"/>
      <c r="Q48" s="195"/>
      <c r="R48" s="195"/>
      <c r="S48" s="195"/>
      <c r="T48" s="195"/>
      <c r="U48" s="195"/>
      <c r="V48" s="195"/>
      <c r="W48" s="195"/>
      <c r="X48" s="195"/>
    </row>
    <row r="49" spans="1:25">
      <c r="A49" s="37"/>
      <c r="B49" s="37"/>
      <c r="C49" s="37"/>
      <c r="D49" s="37"/>
      <c r="E49" s="37"/>
      <c r="F49" s="37"/>
      <c r="G49" s="37"/>
      <c r="H49" s="37"/>
      <c r="I49" s="148"/>
      <c r="J49" s="42" t="s">
        <v>176</v>
      </c>
      <c r="K49" s="42"/>
      <c r="L49" s="42"/>
      <c r="M49" s="91" t="s">
        <v>161</v>
      </c>
      <c r="N49" s="91" t="s">
        <v>4</v>
      </c>
      <c r="O49" s="91" t="s">
        <v>40</v>
      </c>
      <c r="P49" s="91" t="s">
        <v>209</v>
      </c>
      <c r="Q49" s="91" t="s">
        <v>5</v>
      </c>
      <c r="R49" s="91" t="s">
        <v>97</v>
      </c>
      <c r="S49" s="91" t="s">
        <v>99</v>
      </c>
      <c r="T49" s="91" t="s">
        <v>210</v>
      </c>
      <c r="U49" s="91" t="s">
        <v>211</v>
      </c>
      <c r="V49" s="91" t="s">
        <v>51</v>
      </c>
      <c r="W49" s="91" t="s">
        <v>212</v>
      </c>
      <c r="X49" s="91" t="s">
        <v>52</v>
      </c>
      <c r="Y49" s="69" t="s">
        <v>56</v>
      </c>
    </row>
    <row r="50" spans="1:25">
      <c r="K50" s="42"/>
      <c r="L50" s="65" t="s">
        <v>281</v>
      </c>
      <c r="M50" s="67">
        <f>+M43</f>
        <v>0</v>
      </c>
      <c r="N50" s="67">
        <f t="shared" ref="N50:W50" si="5">+N43</f>
        <v>0</v>
      </c>
      <c r="O50" s="67">
        <f t="shared" si="5"/>
        <v>0.2100000000136788</v>
      </c>
      <c r="P50" s="67">
        <f t="shared" si="5"/>
        <v>4096</v>
      </c>
      <c r="Q50" s="67">
        <f t="shared" si="5"/>
        <v>69697.679999999993</v>
      </c>
      <c r="R50" s="67">
        <f t="shared" si="5"/>
        <v>0</v>
      </c>
      <c r="S50" s="67">
        <f t="shared" si="5"/>
        <v>0</v>
      </c>
      <c r="T50" s="67">
        <f t="shared" si="5"/>
        <v>0</v>
      </c>
      <c r="U50" s="67">
        <f t="shared" si="5"/>
        <v>0</v>
      </c>
      <c r="V50" s="67">
        <f t="shared" si="5"/>
        <v>0</v>
      </c>
      <c r="W50" s="67">
        <f t="shared" si="5"/>
        <v>4020</v>
      </c>
      <c r="X50" s="67">
        <f>SUM(M50:W50)</f>
        <v>77813.890000000014</v>
      </c>
      <c r="Y50" s="67">
        <f ca="1">Y35</f>
        <v>3564.889999999963</v>
      </c>
    </row>
    <row r="51" spans="1:25">
      <c r="A51" s="163"/>
      <c r="B51" s="164"/>
      <c r="C51" s="164"/>
      <c r="D51" s="164"/>
      <c r="E51" s="164"/>
      <c r="F51" s="164"/>
      <c r="G51" s="164"/>
      <c r="H51" s="164"/>
      <c r="I51" s="164"/>
      <c r="J51" s="164"/>
      <c r="K51" s="42"/>
      <c r="L51" s="65" t="s">
        <v>282</v>
      </c>
      <c r="M51" s="90">
        <f>SUMIFS(Table_Query_from_MS_Access_Database[[#All],[Notes]],Table_Query_from_MS_Access_Database[[#All],[Transaction Year]],"2022",Table_Query_from_MS_Access_Database[[#All],[Transaction Type]],"Lapsing")</f>
        <v>0</v>
      </c>
      <c r="N51" s="90">
        <f>SUMIFS(Table_Query_from_MS_Access_Database[[#All],[Notes]],Table_Query_from_MS_Access_Database[[#All],[Transaction Year]],"2022",Table_Query_from_MS_Access_Database[[#All],[Transaction Type]],"Lapsing")</f>
        <v>0</v>
      </c>
      <c r="O51" s="90">
        <f>SUMIFS(Table_Query_from_MS_Access_Database[[#All],[Notes]],Table_Query_from_MS_Access_Database[[#All],[Transaction Year]],"2022",Table_Query_from_MS_Access_Database[[#All],[Transaction Type]],"Lapsing")</f>
        <v>0</v>
      </c>
      <c r="P51" s="90">
        <f>SUMIFS(Table_Query_from_MS_Access_Database[[#All],[Notes]],Table_Query_from_MS_Access_Database[[#All],[Transaction Year]],"2022",Table_Query_from_MS_Access_Database[[#All],[Transaction Type]],"Lapsing")</f>
        <v>0</v>
      </c>
      <c r="Q51" s="90">
        <f>SUMIFS(Table_Query_from_MS_Access_Database[[#All],[Notes]],Table_Query_from_MS_Access_Database[[#All],[Transaction Year]],"2022",Table_Query_from_MS_Access_Database[[#All],[Transaction Type]],"Lapsing")</f>
        <v>0</v>
      </c>
      <c r="R51" s="90">
        <f>SUMIFS(Table_Query_from_MS_Access_Database[[#All],[Notes]],Table_Query_from_MS_Access_Database[[#All],[Transaction Year]],"2022",Table_Query_from_MS_Access_Database[[#All],[Transaction Type]],"Lapsing")</f>
        <v>0</v>
      </c>
      <c r="S51" s="90">
        <f>SUMIFS(Table_Query_from_MS_Access_Database[[#All],[Notes]],Table_Query_from_MS_Access_Database[[#All],[Transaction Year]],"2022",Table_Query_from_MS_Access_Database[[#All],[Transaction Type]],"Lapsing")</f>
        <v>0</v>
      </c>
      <c r="T51" s="90">
        <f>SUMIFS(Table_Query_from_MS_Access_Database[[#All],[Notes]],Table_Query_from_MS_Access_Database[[#All],[Transaction Year]],"2022",Table_Query_from_MS_Access_Database[[#All],[Transaction Type]],"Lapsing")</f>
        <v>0</v>
      </c>
      <c r="U51" s="90">
        <f>SUMIFS(Table_Query_from_MS_Access_Database[[#All],[Notes]],Table_Query_from_MS_Access_Database[[#All],[Transaction Year]],"2022",Table_Query_from_MS_Access_Database[[#All],[Transaction Type]],"Lapsing")</f>
        <v>0</v>
      </c>
      <c r="V51" s="90">
        <f>SUMIFS(Table_Query_from_MS_Access_Database[[#All],[Notes]],Table_Query_from_MS_Access_Database[[#All],[Transaction Year]],"2022",Table_Query_from_MS_Access_Database[[#All],[Transaction Type]],"Lapsing")</f>
        <v>0</v>
      </c>
      <c r="W51" s="90">
        <f>SUMIFS(Table_Query_from_MS_Access_Database[[#All],[Notes]],Table_Query_from_MS_Access_Database[[#All],[Transaction Year]],"2022",Table_Query_from_MS_Access_Database[[#All],[Transaction Type]],"Lapsing")</f>
        <v>0</v>
      </c>
      <c r="X51" s="90">
        <f>SUM(M51:W51)</f>
        <v>0</v>
      </c>
      <c r="Y51" s="90">
        <f>SUMIFS(Table_Query_from_MS_Access_Database_16[[#All],[To]],Table_Query_from_MS_Access_Database_16[[#All],[Transaction Year]],"2019",Table_Query_from_MS_Access_Database_16[[#All],[Transaction Type]],"Lapsing")</f>
        <v>0</v>
      </c>
    </row>
    <row r="52" spans="1:25">
      <c r="K52" s="42"/>
      <c r="L52" s="65" t="s">
        <v>283</v>
      </c>
      <c r="M52" s="67">
        <f>SUM(M50:M51)</f>
        <v>0</v>
      </c>
      <c r="N52" s="67">
        <f t="shared" ref="N52:W52" si="6">SUM(N50:N51)</f>
        <v>0</v>
      </c>
      <c r="O52" s="67">
        <f t="shared" si="6"/>
        <v>0.2100000000136788</v>
      </c>
      <c r="P52" s="67">
        <f t="shared" si="6"/>
        <v>4096</v>
      </c>
      <c r="Q52" s="67">
        <f t="shared" si="6"/>
        <v>69697.679999999993</v>
      </c>
      <c r="R52" s="67">
        <f t="shared" si="6"/>
        <v>0</v>
      </c>
      <c r="S52" s="67">
        <f t="shared" si="6"/>
        <v>0</v>
      </c>
      <c r="T52" s="67">
        <f t="shared" si="6"/>
        <v>0</v>
      </c>
      <c r="U52" s="67">
        <f t="shared" si="6"/>
        <v>0</v>
      </c>
      <c r="V52" s="67">
        <f t="shared" si="6"/>
        <v>0</v>
      </c>
      <c r="W52" s="67">
        <f t="shared" si="6"/>
        <v>4020</v>
      </c>
      <c r="X52" s="67">
        <f>SUM(X50:X51)</f>
        <v>77813.890000000014</v>
      </c>
      <c r="Y52" s="67">
        <f ca="1">SUM(Y50:Y51)</f>
        <v>3564.889999999963</v>
      </c>
    </row>
    <row r="53" spans="1:25">
      <c r="K53" s="42"/>
      <c r="L53" s="66" t="s">
        <v>284</v>
      </c>
      <c r="M53" s="90">
        <f>+M52-M43</f>
        <v>0</v>
      </c>
      <c r="N53" s="90">
        <f t="shared" ref="N53:V53" si="7">+N52-N43</f>
        <v>0</v>
      </c>
      <c r="O53" s="90">
        <f t="shared" si="7"/>
        <v>0</v>
      </c>
      <c r="P53" s="90">
        <f t="shared" si="7"/>
        <v>0</v>
      </c>
      <c r="Q53" s="90">
        <f t="shared" si="7"/>
        <v>0</v>
      </c>
      <c r="R53" s="90">
        <f t="shared" si="7"/>
        <v>0</v>
      </c>
      <c r="S53" s="90">
        <f t="shared" si="7"/>
        <v>0</v>
      </c>
      <c r="T53" s="90">
        <f t="shared" si="7"/>
        <v>0</v>
      </c>
      <c r="U53" s="90">
        <f t="shared" si="7"/>
        <v>0</v>
      </c>
      <c r="V53" s="90">
        <f t="shared" si="7"/>
        <v>0</v>
      </c>
      <c r="W53" s="90">
        <v>0</v>
      </c>
      <c r="X53" s="90">
        <f>SUM(M53:W53)</f>
        <v>0</v>
      </c>
      <c r="Y53" s="90">
        <v>0</v>
      </c>
    </row>
    <row r="54" spans="1:25">
      <c r="K54" s="42"/>
      <c r="L54" s="66"/>
      <c r="N54" s="165"/>
      <c r="O54" s="165"/>
      <c r="P54" s="165"/>
      <c r="Q54" s="165"/>
      <c r="R54" s="165"/>
      <c r="S54" s="165"/>
      <c r="T54" s="165"/>
      <c r="U54" s="165"/>
      <c r="V54" s="165"/>
    </row>
    <row r="57" spans="1:25" ht="15">
      <c r="A57" s="186" t="s">
        <v>266</v>
      </c>
    </row>
    <row r="59" spans="1:25" ht="15">
      <c r="A59" t="s">
        <v>265</v>
      </c>
      <c r="B59"/>
      <c r="J59" s="174"/>
      <c r="K59" s="174"/>
    </row>
    <row r="60" spans="1:25" ht="15">
      <c r="A60"/>
      <c r="B60" s="183" t="s">
        <v>253</v>
      </c>
      <c r="I60" s="173"/>
      <c r="J60" s="174"/>
      <c r="K60" s="174"/>
    </row>
    <row r="61" spans="1:25" ht="15">
      <c r="A61"/>
      <c r="B61" t="s">
        <v>254</v>
      </c>
      <c r="K61" s="174"/>
    </row>
    <row r="62" spans="1:25" ht="15">
      <c r="A62"/>
      <c r="B62" t="s">
        <v>250</v>
      </c>
    </row>
    <row r="64" spans="1:25" ht="15">
      <c r="A64" t="s">
        <v>269</v>
      </c>
      <c r="B64"/>
    </row>
    <row r="65" spans="1:2" ht="15">
      <c r="A65"/>
      <c r="B65" t="s">
        <v>267</v>
      </c>
    </row>
    <row r="66" spans="1:2" ht="15">
      <c r="A66"/>
      <c r="B66" t="s">
        <v>270</v>
      </c>
    </row>
    <row r="68" spans="1:2" ht="15">
      <c r="A68" t="s">
        <v>271</v>
      </c>
    </row>
    <row r="69" spans="1:2" ht="15">
      <c r="B69" s="183" t="s">
        <v>263</v>
      </c>
    </row>
    <row r="70" spans="1:2" ht="15">
      <c r="B70" s="183" t="s">
        <v>264</v>
      </c>
    </row>
    <row r="72" spans="1:2" ht="15">
      <c r="A72" t="s">
        <v>308</v>
      </c>
      <c r="B72"/>
    </row>
  </sheetData>
  <sheetProtection autoFilter="0"/>
  <mergeCells count="14">
    <mergeCell ref="M1:W1"/>
    <mergeCell ref="I14:L14"/>
    <mergeCell ref="A9:J9"/>
    <mergeCell ref="M48:X48"/>
    <mergeCell ref="K43:L43"/>
    <mergeCell ref="M2:W2"/>
    <mergeCell ref="A1:F1"/>
    <mergeCell ref="A14:D14"/>
    <mergeCell ref="A5:D5"/>
    <mergeCell ref="A31:D31"/>
    <mergeCell ref="K28:L28"/>
    <mergeCell ref="K29:L29"/>
    <mergeCell ref="K42:L42"/>
    <mergeCell ref="A3:C3"/>
  </mergeCells>
  <pageMargins left="0.5" right="0.25" top="0.75" bottom="0.5" header="0.3" footer="0.3"/>
  <pageSetup paperSize="17" scale="74" fitToHeight="0" orientation="landscape" horizontalDpi="1200" verticalDpi="1200" r:id="rId1"/>
  <headerFooter>
    <oddFooter>&amp;L&amp;8&amp;Z&amp;F&amp;R&amp;P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138"/>
  <sheetViews>
    <sheetView topLeftCell="A64" zoomScaleNormal="100" workbookViewId="0">
      <selection activeCell="I74" sqref="I74"/>
    </sheetView>
  </sheetViews>
  <sheetFormatPr defaultColWidth="19.7109375" defaultRowHeight="15"/>
  <cols>
    <col min="1" max="1" width="19.5703125" style="15" bestFit="1" customWidth="1"/>
    <col min="2" max="2" width="19.85546875" style="15" bestFit="1" customWidth="1"/>
    <col min="3" max="3" width="20.42578125" style="15" bestFit="1" customWidth="1"/>
    <col min="4" max="4" width="9.28515625" style="15" bestFit="1" customWidth="1"/>
    <col min="5" max="5" width="9" style="15" bestFit="1" customWidth="1"/>
    <col min="6" max="6" width="19.5703125" style="15" bestFit="1" customWidth="1"/>
    <col min="7" max="7" width="36.140625" style="15" bestFit="1" customWidth="1"/>
    <col min="8" max="8" width="63.7109375" style="16" bestFit="1" customWidth="1"/>
    <col min="9" max="9" width="12.28515625" style="15" bestFit="1" customWidth="1"/>
    <col min="10" max="10" width="20" style="15" bestFit="1" customWidth="1"/>
    <col min="11" max="11" width="12.28515625" style="15" bestFit="1" customWidth="1"/>
    <col min="12" max="12" width="11.28515625" style="15" bestFit="1" customWidth="1"/>
    <col min="13" max="13" width="14.5703125" style="15" bestFit="1" customWidth="1"/>
    <col min="14" max="14" width="11.28515625" style="15" bestFit="1" customWidth="1"/>
    <col min="15" max="16" width="12.28515625" style="15" bestFit="1" customWidth="1"/>
    <col min="17" max="17" width="12" style="15" bestFit="1" customWidth="1"/>
    <col min="18" max="18" width="14" style="15" bestFit="1" customWidth="1"/>
    <col min="19" max="19" width="12.28515625" style="15" bestFit="1" customWidth="1"/>
    <col min="20" max="20" width="10.5703125" style="15" bestFit="1" customWidth="1"/>
    <col min="21" max="21" width="11.28515625" style="15" bestFit="1" customWidth="1"/>
    <col min="22" max="22" width="12.28515625" style="15" bestFit="1" customWidth="1"/>
    <col min="23" max="23" width="14.28515625" style="15" bestFit="1" customWidth="1"/>
    <col min="24" max="24" width="10.140625" style="15" customWidth="1"/>
    <col min="25" max="25" width="10.7109375" style="15" customWidth="1"/>
    <col min="26" max="26" width="12.7109375" style="15" customWidth="1"/>
    <col min="27" max="27" width="16.5703125" style="15" customWidth="1"/>
    <col min="28" max="28" width="11.7109375" style="15" customWidth="1"/>
    <col min="29" max="29" width="15.7109375" style="15" customWidth="1"/>
    <col min="30" max="30" width="13.42578125" style="15" customWidth="1"/>
    <col min="31" max="31" width="15.7109375" style="15" customWidth="1"/>
    <col min="32" max="33" width="9.5703125" style="15" customWidth="1"/>
    <col min="34" max="34" width="11.85546875" style="15" customWidth="1"/>
    <col min="35" max="35" width="64.28515625" style="15" customWidth="1"/>
    <col min="36" max="36" width="14" style="15" customWidth="1"/>
    <col min="37" max="37" width="16.85546875" style="15" customWidth="1"/>
    <col min="38" max="38" width="12.140625" style="15" customWidth="1"/>
    <col min="39" max="39" width="16" style="15" customWidth="1"/>
  </cols>
  <sheetData>
    <row r="1" spans="1:39" ht="18.75">
      <c r="A1" s="206" t="str">
        <f>+'Federal Funds Transactions'!A1:F1</f>
        <v>Central Yavapai Metropolitan Planning Organization</v>
      </c>
      <c r="B1" s="206"/>
      <c r="C1" s="206"/>
      <c r="D1" s="206"/>
      <c r="E1" s="206"/>
      <c r="F1" s="206"/>
    </row>
    <row r="2" spans="1:39">
      <c r="A2" s="17"/>
      <c r="B2" s="17"/>
      <c r="C2" s="17"/>
      <c r="D2" s="17"/>
      <c r="E2" s="17"/>
      <c r="F2" s="17"/>
    </row>
    <row r="3" spans="1:39">
      <c r="A3" s="207" t="s">
        <v>78</v>
      </c>
      <c r="B3" s="207"/>
      <c r="C3" s="207"/>
      <c r="D3" s="207"/>
      <c r="E3" s="207"/>
      <c r="F3" s="207"/>
    </row>
    <row r="4" spans="1:39">
      <c r="A4" s="18"/>
      <c r="B4" s="18"/>
      <c r="C4" s="18"/>
      <c r="D4" s="18"/>
      <c r="E4" s="18"/>
      <c r="F4" s="18"/>
    </row>
    <row r="5" spans="1:39">
      <c r="A5" s="15" t="s">
        <v>77</v>
      </c>
      <c r="B5" s="50">
        <f>+'Federal Funds Transactions'!C6</f>
        <v>46024</v>
      </c>
      <c r="C5" s="17"/>
      <c r="D5" s="17"/>
      <c r="E5" s="17"/>
      <c r="F5" s="17"/>
    </row>
    <row r="6" spans="1:39">
      <c r="A6" s="17"/>
      <c r="B6" s="17"/>
      <c r="C6" s="17"/>
      <c r="D6" s="17"/>
      <c r="E6" s="17"/>
      <c r="F6" s="17"/>
    </row>
    <row r="7" spans="1:39" ht="15" customHeight="1">
      <c r="A7" s="210" t="str">
        <f>+'Federal Funds Transactions'!A9:L9</f>
        <v>IMPORTANT! Please review the information in the Notes tab for further explanation of the data in this document.</v>
      </c>
      <c r="B7" s="210"/>
      <c r="C7" s="210"/>
      <c r="D7" s="210"/>
      <c r="E7" s="210"/>
      <c r="F7" s="210"/>
      <c r="G7" s="210"/>
      <c r="H7" s="210"/>
    </row>
    <row r="9" spans="1:39" ht="15.75" customHeight="1">
      <c r="A9" s="208" t="s">
        <v>75</v>
      </c>
      <c r="B9" s="208"/>
      <c r="C9" s="208"/>
      <c r="D9" s="208"/>
      <c r="E9" s="208"/>
      <c r="F9" s="208"/>
      <c r="G9" s="208"/>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9" ht="15.75">
      <c r="A10" s="20"/>
      <c r="B10" s="20"/>
      <c r="C10" s="20"/>
      <c r="D10" s="20"/>
      <c r="E10" s="21"/>
      <c r="F10" s="21"/>
      <c r="G10" s="21"/>
      <c r="H10" s="22"/>
      <c r="I10" s="21"/>
      <c r="J10" s="21"/>
      <c r="K10" s="21"/>
      <c r="L10" s="21"/>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21"/>
      <c r="AM10" s="21"/>
    </row>
    <row r="11" spans="1:39">
      <c r="A11" s="53" t="s">
        <v>41</v>
      </c>
      <c r="B11" s="54" t="s">
        <v>42</v>
      </c>
      <c r="C11" s="54" t="s">
        <v>13</v>
      </c>
      <c r="D11" s="54" t="s">
        <v>82</v>
      </c>
      <c r="E11" s="54" t="s">
        <v>83</v>
      </c>
      <c r="F11" s="54" t="s">
        <v>43</v>
      </c>
      <c r="G11" s="54" t="s">
        <v>84</v>
      </c>
      <c r="H11" s="54" t="s">
        <v>85</v>
      </c>
      <c r="I11" s="54" t="s">
        <v>10</v>
      </c>
      <c r="J11" s="54" t="s">
        <v>213</v>
      </c>
      <c r="K11" s="54" t="s">
        <v>4</v>
      </c>
      <c r="L11" s="54" t="s">
        <v>158</v>
      </c>
      <c r="M11" s="54" t="s">
        <v>214</v>
      </c>
      <c r="N11" s="54" t="s">
        <v>5</v>
      </c>
      <c r="O11" s="54" t="s">
        <v>97</v>
      </c>
      <c r="P11" s="54" t="s">
        <v>99</v>
      </c>
      <c r="Q11" s="54" t="s">
        <v>210</v>
      </c>
      <c r="R11" s="54" t="s">
        <v>211</v>
      </c>
      <c r="S11" s="54" t="s">
        <v>215</v>
      </c>
      <c r="T11" s="54" t="s">
        <v>159</v>
      </c>
      <c r="U11" s="54" t="s">
        <v>160</v>
      </c>
      <c r="V11" s="54" t="s">
        <v>216</v>
      </c>
      <c r="W11" s="54" t="s">
        <v>212</v>
      </c>
      <c r="X11" s="21"/>
      <c r="Y11" s="21"/>
      <c r="Z11" s="21"/>
      <c r="AA11" s="21"/>
      <c r="AB11"/>
      <c r="AC11"/>
      <c r="AD11"/>
      <c r="AE11"/>
      <c r="AF11"/>
      <c r="AG11"/>
      <c r="AH11"/>
      <c r="AI11"/>
      <c r="AJ11"/>
      <c r="AK11"/>
      <c r="AL11"/>
      <c r="AM11"/>
    </row>
    <row r="12" spans="1:39">
      <c r="A12" s="46" t="s">
        <v>105</v>
      </c>
      <c r="B12" s="44" t="s">
        <v>86</v>
      </c>
      <c r="C12" s="44" t="s">
        <v>106</v>
      </c>
      <c r="D12" s="44" t="s">
        <v>107</v>
      </c>
      <c r="E12" s="44" t="s">
        <v>88</v>
      </c>
      <c r="F12" s="44" t="s">
        <v>108</v>
      </c>
      <c r="G12" s="44" t="s">
        <v>109</v>
      </c>
      <c r="H12" s="44" t="s">
        <v>110</v>
      </c>
      <c r="I12" s="44">
        <v>-600000</v>
      </c>
      <c r="J12" s="44"/>
      <c r="K12" s="44">
        <v>-600000</v>
      </c>
      <c r="L12" s="44"/>
      <c r="M12" s="45"/>
      <c r="N12" s="45"/>
      <c r="O12" s="92"/>
      <c r="P12" s="92"/>
      <c r="Q12" s="92"/>
      <c r="R12" s="92"/>
      <c r="S12" s="92"/>
      <c r="T12" s="92"/>
      <c r="U12" s="92"/>
      <c r="V12" s="92"/>
      <c r="W12" s="21"/>
      <c r="X12" s="51"/>
      <c r="Y12" s="51"/>
      <c r="Z12" s="51"/>
      <c r="AA12" s="51"/>
      <c r="AB12"/>
      <c r="AC12"/>
      <c r="AD12"/>
      <c r="AE12"/>
      <c r="AF12"/>
      <c r="AG12"/>
      <c r="AH12"/>
      <c r="AI12"/>
      <c r="AJ12"/>
      <c r="AK12"/>
      <c r="AL12"/>
      <c r="AM12"/>
    </row>
    <row r="13" spans="1:39">
      <c r="A13" s="47" t="s">
        <v>105</v>
      </c>
      <c r="B13" s="45" t="s">
        <v>98</v>
      </c>
      <c r="C13" s="45" t="s">
        <v>111</v>
      </c>
      <c r="D13" s="45" t="s">
        <v>107</v>
      </c>
      <c r="E13" s="45" t="s">
        <v>88</v>
      </c>
      <c r="F13" s="45" t="s">
        <v>105</v>
      </c>
      <c r="G13" s="45" t="s">
        <v>112</v>
      </c>
      <c r="H13" s="45" t="s">
        <v>113</v>
      </c>
      <c r="I13" s="45">
        <v>-633000</v>
      </c>
      <c r="J13" s="45"/>
      <c r="K13" s="45"/>
      <c r="L13" s="45"/>
      <c r="M13" s="45"/>
      <c r="N13" s="45"/>
      <c r="O13" s="92"/>
      <c r="P13" s="92"/>
      <c r="Q13" s="92"/>
      <c r="R13" s="92"/>
      <c r="S13" s="92">
        <v>-633000</v>
      </c>
      <c r="T13" s="92"/>
      <c r="U13" s="92"/>
      <c r="V13" s="92"/>
      <c r="W13" s="21"/>
      <c r="X13" s="51"/>
      <c r="Y13" s="51"/>
      <c r="Z13" s="51"/>
      <c r="AA13" s="51"/>
      <c r="AB13"/>
      <c r="AC13"/>
      <c r="AD13"/>
      <c r="AE13"/>
      <c r="AF13"/>
      <c r="AG13"/>
      <c r="AH13"/>
      <c r="AI13"/>
      <c r="AJ13"/>
      <c r="AK13"/>
      <c r="AL13"/>
      <c r="AM13"/>
    </row>
    <row r="14" spans="1:39">
      <c r="A14" s="47" t="s">
        <v>108</v>
      </c>
      <c r="B14" s="45" t="s">
        <v>87</v>
      </c>
      <c r="C14" s="45" t="s">
        <v>106</v>
      </c>
      <c r="D14" s="45" t="s">
        <v>88</v>
      </c>
      <c r="E14" s="45" t="s">
        <v>107</v>
      </c>
      <c r="F14" s="45" t="s">
        <v>108</v>
      </c>
      <c r="G14" s="45" t="s">
        <v>109</v>
      </c>
      <c r="H14" s="45" t="s">
        <v>114</v>
      </c>
      <c r="I14" s="45">
        <v>600000</v>
      </c>
      <c r="J14" s="45"/>
      <c r="K14" s="45">
        <v>600000</v>
      </c>
      <c r="L14" s="45"/>
      <c r="M14" s="45"/>
      <c r="N14" s="45"/>
      <c r="O14" s="92"/>
      <c r="P14" s="92"/>
      <c r="Q14" s="92"/>
      <c r="R14" s="92"/>
      <c r="S14" s="92"/>
      <c r="T14" s="92"/>
      <c r="U14" s="92"/>
      <c r="V14" s="92"/>
      <c r="W14" s="21"/>
      <c r="X14" s="51"/>
      <c r="Y14" s="51"/>
      <c r="Z14" s="51"/>
      <c r="AA14" s="51"/>
      <c r="AB14"/>
      <c r="AC14"/>
      <c r="AD14"/>
      <c r="AE14"/>
      <c r="AF14"/>
      <c r="AG14"/>
      <c r="AH14"/>
      <c r="AI14"/>
      <c r="AJ14"/>
      <c r="AK14"/>
      <c r="AL14"/>
      <c r="AM14"/>
    </row>
    <row r="15" spans="1:39">
      <c r="A15" s="47" t="s">
        <v>108</v>
      </c>
      <c r="B15" s="45" t="s">
        <v>98</v>
      </c>
      <c r="C15" s="45" t="s">
        <v>115</v>
      </c>
      <c r="D15" s="45" t="s">
        <v>107</v>
      </c>
      <c r="E15" s="45" t="s">
        <v>88</v>
      </c>
      <c r="F15" s="45" t="s">
        <v>108</v>
      </c>
      <c r="G15" s="45" t="s">
        <v>112</v>
      </c>
      <c r="H15" s="45" t="s">
        <v>113</v>
      </c>
      <c r="I15" s="45">
        <v>-633000</v>
      </c>
      <c r="J15" s="45"/>
      <c r="K15" s="45"/>
      <c r="L15" s="45"/>
      <c r="M15" s="45"/>
      <c r="N15" s="45"/>
      <c r="O15" s="92"/>
      <c r="P15" s="92"/>
      <c r="Q15" s="92"/>
      <c r="R15" s="92"/>
      <c r="S15" s="92">
        <v>-633000</v>
      </c>
      <c r="T15" s="92"/>
      <c r="U15" s="92"/>
      <c r="V15" s="92"/>
      <c r="W15" s="21"/>
      <c r="X15" s="51"/>
      <c r="Y15" s="51"/>
      <c r="Z15" s="51"/>
      <c r="AA15" s="51"/>
      <c r="AB15"/>
      <c r="AC15"/>
      <c r="AD15"/>
      <c r="AE15"/>
      <c r="AF15"/>
      <c r="AG15"/>
      <c r="AH15"/>
      <c r="AI15"/>
      <c r="AJ15"/>
      <c r="AK15"/>
      <c r="AL15"/>
      <c r="AM15"/>
    </row>
    <row r="16" spans="1:39">
      <c r="A16" s="47" t="s">
        <v>89</v>
      </c>
      <c r="B16" s="45" t="s">
        <v>94</v>
      </c>
      <c r="C16" s="45" t="s">
        <v>116</v>
      </c>
      <c r="D16" s="45" t="s">
        <v>107</v>
      </c>
      <c r="E16" s="45" t="s">
        <v>88</v>
      </c>
      <c r="F16" s="45" t="s">
        <v>89</v>
      </c>
      <c r="G16" s="45"/>
      <c r="H16" s="45" t="s">
        <v>117</v>
      </c>
      <c r="I16" s="45">
        <v>-156462.41</v>
      </c>
      <c r="J16" s="45"/>
      <c r="K16" s="45">
        <v>-4242</v>
      </c>
      <c r="L16" s="45">
        <v>-0.41</v>
      </c>
      <c r="M16" s="45"/>
      <c r="N16" s="45">
        <v>-31250</v>
      </c>
      <c r="O16" s="92"/>
      <c r="P16" s="92"/>
      <c r="Q16" s="92"/>
      <c r="R16" s="92"/>
      <c r="S16" s="92">
        <v>-120970</v>
      </c>
      <c r="T16" s="92"/>
      <c r="U16" s="92"/>
      <c r="V16" s="92"/>
      <c r="W16" s="21"/>
      <c r="X16" s="51"/>
      <c r="Y16" s="51"/>
      <c r="Z16" s="51"/>
      <c r="AA16" s="51"/>
      <c r="AB16"/>
      <c r="AC16"/>
      <c r="AD16"/>
      <c r="AE16"/>
      <c r="AF16"/>
      <c r="AG16"/>
      <c r="AH16"/>
      <c r="AI16"/>
      <c r="AJ16"/>
      <c r="AK16"/>
      <c r="AL16"/>
      <c r="AM16"/>
    </row>
    <row r="17" spans="1:39">
      <c r="A17" s="48" t="s">
        <v>89</v>
      </c>
      <c r="B17" s="49" t="s">
        <v>118</v>
      </c>
      <c r="C17" s="49" t="s">
        <v>119</v>
      </c>
      <c r="D17" s="49" t="s">
        <v>120</v>
      </c>
      <c r="E17" s="49" t="s">
        <v>107</v>
      </c>
      <c r="F17" s="49" t="s">
        <v>92</v>
      </c>
      <c r="G17" s="49"/>
      <c r="H17" s="49" t="s">
        <v>121</v>
      </c>
      <c r="I17" s="49">
        <v>350000</v>
      </c>
      <c r="J17" s="49"/>
      <c r="K17" s="49">
        <v>350000</v>
      </c>
      <c r="L17" s="49"/>
      <c r="M17" s="49"/>
      <c r="N17" s="49"/>
      <c r="O17" s="92"/>
      <c r="P17" s="92"/>
      <c r="Q17" s="92"/>
      <c r="R17" s="92"/>
      <c r="S17" s="92"/>
      <c r="T17" s="92"/>
      <c r="U17" s="92"/>
      <c r="V17" s="92"/>
      <c r="W17" s="21"/>
      <c r="X17" s="51"/>
      <c r="Y17" s="51"/>
      <c r="Z17" s="51"/>
      <c r="AA17" s="51"/>
      <c r="AB17"/>
      <c r="AC17"/>
      <c r="AD17"/>
      <c r="AE17"/>
      <c r="AF17"/>
      <c r="AG17"/>
      <c r="AH17"/>
      <c r="AI17"/>
      <c r="AJ17"/>
      <c r="AK17"/>
      <c r="AL17"/>
      <c r="AM17"/>
    </row>
    <row r="18" spans="1:39">
      <c r="A18" s="61" t="s">
        <v>89</v>
      </c>
      <c r="B18" s="62" t="s">
        <v>98</v>
      </c>
      <c r="C18" s="62" t="s">
        <v>122</v>
      </c>
      <c r="D18" s="62" t="s">
        <v>107</v>
      </c>
      <c r="E18" s="62" t="s">
        <v>88</v>
      </c>
      <c r="F18" s="62" t="s">
        <v>89</v>
      </c>
      <c r="G18" s="62" t="s">
        <v>112</v>
      </c>
      <c r="H18" s="62" t="s">
        <v>113</v>
      </c>
      <c r="I18" s="62">
        <v>-633000</v>
      </c>
      <c r="J18" s="62"/>
      <c r="K18" s="62"/>
      <c r="L18" s="62"/>
      <c r="M18" s="62"/>
      <c r="N18" s="62"/>
      <c r="O18" s="92"/>
      <c r="P18" s="92"/>
      <c r="Q18" s="92"/>
      <c r="R18" s="92"/>
      <c r="S18" s="92">
        <v>-633000</v>
      </c>
      <c r="T18" s="92"/>
      <c r="U18" s="92"/>
      <c r="V18" s="92"/>
      <c r="W18" s="21"/>
      <c r="X18" s="51"/>
      <c r="Y18" s="51"/>
      <c r="Z18" s="51"/>
      <c r="AA18" s="51"/>
      <c r="AB18"/>
      <c r="AC18"/>
      <c r="AD18"/>
      <c r="AE18"/>
      <c r="AF18"/>
      <c r="AG18"/>
      <c r="AH18"/>
      <c r="AI18"/>
      <c r="AJ18"/>
      <c r="AK18"/>
      <c r="AL18"/>
      <c r="AM18"/>
    </row>
    <row r="19" spans="1:39">
      <c r="A19" s="71" t="s">
        <v>92</v>
      </c>
      <c r="B19" s="73" t="s">
        <v>123</v>
      </c>
      <c r="C19" s="73" t="s">
        <v>119</v>
      </c>
      <c r="D19" s="73" t="s">
        <v>107</v>
      </c>
      <c r="E19" s="73" t="s">
        <v>120</v>
      </c>
      <c r="F19" s="73" t="s">
        <v>92</v>
      </c>
      <c r="G19" s="73"/>
      <c r="H19" s="73" t="s">
        <v>124</v>
      </c>
      <c r="I19" s="73">
        <v>-350000</v>
      </c>
      <c r="J19" s="73"/>
      <c r="K19" s="73">
        <v>-350000</v>
      </c>
      <c r="L19" s="73"/>
      <c r="M19" s="73"/>
      <c r="N19" s="73"/>
      <c r="O19" s="92"/>
      <c r="P19" s="92"/>
      <c r="Q19" s="92"/>
      <c r="R19" s="92"/>
      <c r="S19" s="92"/>
      <c r="T19" s="92"/>
      <c r="U19" s="92"/>
      <c r="V19" s="92"/>
      <c r="W19" s="21"/>
      <c r="X19" s="51"/>
      <c r="Y19" s="51"/>
      <c r="Z19" s="51"/>
      <c r="AA19" s="51"/>
      <c r="AF19"/>
      <c r="AG19"/>
      <c r="AH19"/>
      <c r="AI19"/>
      <c r="AJ19"/>
      <c r="AK19"/>
      <c r="AL19"/>
      <c r="AM19"/>
    </row>
    <row r="20" spans="1:39">
      <c r="A20" s="72" t="s">
        <v>92</v>
      </c>
      <c r="B20" s="74" t="s">
        <v>98</v>
      </c>
      <c r="C20" s="74" t="s">
        <v>125</v>
      </c>
      <c r="D20" s="74" t="s">
        <v>107</v>
      </c>
      <c r="E20" s="74" t="s">
        <v>88</v>
      </c>
      <c r="F20" s="74" t="s">
        <v>92</v>
      </c>
      <c r="G20" s="74" t="s">
        <v>112</v>
      </c>
      <c r="H20" s="74" t="s">
        <v>126</v>
      </c>
      <c r="I20" s="74">
        <v>-633000</v>
      </c>
      <c r="J20" s="74"/>
      <c r="K20" s="74"/>
      <c r="L20" s="74"/>
      <c r="M20" s="74"/>
      <c r="N20" s="74"/>
      <c r="O20" s="92"/>
      <c r="P20" s="92"/>
      <c r="Q20" s="92"/>
      <c r="R20" s="92"/>
      <c r="S20" s="92">
        <v>-633000</v>
      </c>
      <c r="T20" s="92"/>
      <c r="U20" s="92"/>
      <c r="V20" s="92"/>
      <c r="W20" s="21"/>
      <c r="X20" s="51"/>
      <c r="Y20" s="51"/>
      <c r="Z20" s="51"/>
      <c r="AA20" s="51"/>
      <c r="AB20" s="52"/>
      <c r="AC20" s="52"/>
      <c r="AD20" s="52"/>
      <c r="AE20" s="52"/>
      <c r="AF20"/>
      <c r="AG20"/>
      <c r="AH20"/>
      <c r="AI20"/>
      <c r="AJ20"/>
      <c r="AK20"/>
      <c r="AL20"/>
      <c r="AM20"/>
    </row>
    <row r="21" spans="1:39">
      <c r="A21" s="76" t="s">
        <v>91</v>
      </c>
      <c r="B21" s="77" t="s">
        <v>118</v>
      </c>
      <c r="C21" s="77" t="s">
        <v>127</v>
      </c>
      <c r="D21" s="77" t="s">
        <v>102</v>
      </c>
      <c r="E21" s="77" t="s">
        <v>107</v>
      </c>
      <c r="F21" s="77" t="s">
        <v>95</v>
      </c>
      <c r="G21" s="77"/>
      <c r="H21" s="77" t="s">
        <v>128</v>
      </c>
      <c r="I21" s="77">
        <v>137000</v>
      </c>
      <c r="J21" s="77"/>
      <c r="K21" s="77">
        <v>137000</v>
      </c>
      <c r="L21" s="77"/>
      <c r="M21" s="77"/>
      <c r="N21" s="77"/>
      <c r="O21" s="92"/>
      <c r="P21" s="92"/>
      <c r="Q21" s="92"/>
      <c r="R21" s="92"/>
      <c r="S21" s="92"/>
      <c r="T21" s="92"/>
      <c r="U21" s="92"/>
      <c r="V21" s="92"/>
      <c r="W21" s="21"/>
      <c r="X21" s="51"/>
      <c r="Y21" s="51"/>
      <c r="Z21" s="51"/>
      <c r="AA21" s="51"/>
      <c r="AF21"/>
      <c r="AG21"/>
      <c r="AH21"/>
      <c r="AI21"/>
      <c r="AJ21"/>
      <c r="AK21"/>
      <c r="AL21"/>
      <c r="AM21"/>
    </row>
    <row r="22" spans="1:39">
      <c r="A22" s="78" t="s">
        <v>91</v>
      </c>
      <c r="B22" s="79" t="s">
        <v>86</v>
      </c>
      <c r="C22" s="79" t="s">
        <v>129</v>
      </c>
      <c r="D22" s="79" t="s">
        <v>107</v>
      </c>
      <c r="E22" s="79" t="s">
        <v>88</v>
      </c>
      <c r="F22" s="79" t="s">
        <v>95</v>
      </c>
      <c r="G22" s="79" t="s">
        <v>130</v>
      </c>
      <c r="H22" s="79" t="s">
        <v>131</v>
      </c>
      <c r="I22" s="79">
        <v>-70000</v>
      </c>
      <c r="J22" s="79"/>
      <c r="K22" s="79"/>
      <c r="L22" s="79"/>
      <c r="M22" s="79"/>
      <c r="N22" s="79"/>
      <c r="O22" s="92"/>
      <c r="P22" s="92"/>
      <c r="Q22" s="92"/>
      <c r="R22" s="92"/>
      <c r="S22" s="92">
        <v>-70000</v>
      </c>
      <c r="T22" s="92"/>
      <c r="U22" s="92"/>
      <c r="V22" s="92"/>
      <c r="W22" s="21"/>
      <c r="X22" s="51"/>
      <c r="Y22" s="51"/>
      <c r="Z22" s="51"/>
      <c r="AA22" s="51"/>
      <c r="AF22"/>
      <c r="AG22"/>
      <c r="AH22"/>
      <c r="AI22"/>
      <c r="AJ22"/>
      <c r="AK22"/>
      <c r="AL22"/>
      <c r="AM22"/>
    </row>
    <row r="23" spans="1:39">
      <c r="A23" s="80" t="s">
        <v>91</v>
      </c>
      <c r="B23" s="82" t="s">
        <v>86</v>
      </c>
      <c r="C23" s="82" t="s">
        <v>132</v>
      </c>
      <c r="D23" s="82" t="s">
        <v>107</v>
      </c>
      <c r="E23" s="82" t="s">
        <v>88</v>
      </c>
      <c r="F23" s="82" t="s">
        <v>95</v>
      </c>
      <c r="G23" s="82"/>
      <c r="H23" s="82" t="s">
        <v>133</v>
      </c>
      <c r="I23" s="82">
        <v>-25090.12</v>
      </c>
      <c r="J23" s="82"/>
      <c r="K23" s="82"/>
      <c r="L23" s="82">
        <v>-25090.12</v>
      </c>
      <c r="M23" s="82"/>
      <c r="N23" s="82"/>
      <c r="O23" s="92"/>
      <c r="P23" s="92"/>
      <c r="Q23" s="92"/>
      <c r="R23" s="92"/>
      <c r="S23" s="92"/>
      <c r="T23" s="92"/>
      <c r="U23" s="92"/>
      <c r="V23" s="92"/>
      <c r="W23" s="21"/>
      <c r="X23" s="51"/>
      <c r="Y23" s="51"/>
      <c r="Z23" s="51"/>
      <c r="AA23" s="51"/>
      <c r="AF23"/>
      <c r="AG23"/>
      <c r="AH23"/>
      <c r="AI23"/>
      <c r="AJ23"/>
      <c r="AK23"/>
      <c r="AL23"/>
      <c r="AM23"/>
    </row>
    <row r="24" spans="1:39">
      <c r="A24" s="81" t="s">
        <v>91</v>
      </c>
      <c r="B24" s="83" t="s">
        <v>86</v>
      </c>
      <c r="C24" s="83" t="s">
        <v>132</v>
      </c>
      <c r="D24" s="83" t="s">
        <v>107</v>
      </c>
      <c r="E24" s="83" t="s">
        <v>88</v>
      </c>
      <c r="F24" s="83" t="s">
        <v>95</v>
      </c>
      <c r="G24" s="83"/>
      <c r="H24" s="83" t="s">
        <v>131</v>
      </c>
      <c r="I24" s="83">
        <v>-31935.71</v>
      </c>
      <c r="J24" s="83"/>
      <c r="K24" s="83"/>
      <c r="L24" s="83"/>
      <c r="M24" s="83"/>
      <c r="N24" s="83"/>
      <c r="O24" s="92"/>
      <c r="P24" s="92"/>
      <c r="Q24" s="92"/>
      <c r="R24" s="92"/>
      <c r="S24" s="92">
        <v>-31935.71</v>
      </c>
      <c r="T24" s="92"/>
      <c r="U24" s="92"/>
      <c r="V24" s="92"/>
      <c r="W24" s="21"/>
      <c r="X24" s="51"/>
      <c r="Y24" s="51"/>
      <c r="Z24" s="51"/>
      <c r="AA24" s="51"/>
      <c r="AF24"/>
      <c r="AG24"/>
      <c r="AH24"/>
      <c r="AI24"/>
      <c r="AJ24"/>
      <c r="AK24"/>
      <c r="AL24"/>
      <c r="AM24"/>
    </row>
    <row r="25" spans="1:39">
      <c r="A25" s="15" t="s">
        <v>91</v>
      </c>
      <c r="B25" s="15" t="s">
        <v>86</v>
      </c>
      <c r="C25" s="15" t="s">
        <v>134</v>
      </c>
      <c r="D25" s="15" t="s">
        <v>107</v>
      </c>
      <c r="E25" s="15" t="s">
        <v>88</v>
      </c>
      <c r="F25" s="15" t="s">
        <v>95</v>
      </c>
      <c r="H25" s="15" t="s">
        <v>135</v>
      </c>
      <c r="I25" s="15">
        <v>-593000</v>
      </c>
      <c r="K25" s="15">
        <v>-593000</v>
      </c>
      <c r="O25" s="93"/>
      <c r="P25" s="93"/>
      <c r="Q25" s="93"/>
      <c r="R25" s="93"/>
      <c r="S25" s="93"/>
      <c r="T25" s="93"/>
      <c r="U25" s="93"/>
      <c r="V25" s="93"/>
      <c r="X25" s="51"/>
      <c r="Y25" s="51"/>
      <c r="Z25" s="51"/>
      <c r="AA25" s="51"/>
      <c r="AF25"/>
      <c r="AG25"/>
      <c r="AH25"/>
      <c r="AI25"/>
      <c r="AJ25"/>
      <c r="AK25"/>
      <c r="AL25"/>
      <c r="AM25"/>
    </row>
    <row r="26" spans="1:39">
      <c r="A26" s="15" t="s">
        <v>91</v>
      </c>
      <c r="B26" s="15" t="s">
        <v>98</v>
      </c>
      <c r="C26" s="15" t="s">
        <v>136</v>
      </c>
      <c r="D26" s="15" t="s">
        <v>107</v>
      </c>
      <c r="E26" s="15" t="s">
        <v>88</v>
      </c>
      <c r="F26" s="15" t="s">
        <v>91</v>
      </c>
      <c r="G26" s="15" t="s">
        <v>137</v>
      </c>
      <c r="H26" s="15" t="s">
        <v>138</v>
      </c>
      <c r="I26" s="15">
        <v>-150000</v>
      </c>
      <c r="O26" s="93"/>
      <c r="P26" s="93"/>
      <c r="Q26" s="93"/>
      <c r="R26" s="93"/>
      <c r="S26" s="93">
        <v>-150000</v>
      </c>
      <c r="T26" s="93"/>
      <c r="U26" s="93"/>
      <c r="V26" s="93"/>
      <c r="X26" s="51"/>
      <c r="Y26" s="51"/>
      <c r="Z26" s="51"/>
      <c r="AA26" s="51"/>
      <c r="AF26"/>
      <c r="AG26"/>
      <c r="AH26"/>
      <c r="AI26"/>
      <c r="AJ26"/>
      <c r="AK26"/>
      <c r="AL26"/>
      <c r="AM26"/>
    </row>
    <row r="27" spans="1:39">
      <c r="A27" s="15" t="s">
        <v>95</v>
      </c>
      <c r="B27" s="15" t="s">
        <v>118</v>
      </c>
      <c r="C27" s="15" t="s">
        <v>139</v>
      </c>
      <c r="D27" s="15" t="s">
        <v>120</v>
      </c>
      <c r="E27" s="15" t="s">
        <v>107</v>
      </c>
      <c r="F27" s="15" t="s">
        <v>90</v>
      </c>
      <c r="G27" s="15" t="s">
        <v>140</v>
      </c>
      <c r="H27" s="15" t="s">
        <v>141</v>
      </c>
      <c r="I27" s="15">
        <v>650000</v>
      </c>
      <c r="O27" s="93"/>
      <c r="P27" s="93"/>
      <c r="Q27" s="93"/>
      <c r="R27" s="93"/>
      <c r="S27" s="93">
        <v>650000</v>
      </c>
      <c r="T27" s="93"/>
      <c r="U27" s="93"/>
      <c r="V27" s="93"/>
      <c r="X27" s="51"/>
      <c r="Y27" s="51"/>
      <c r="Z27" s="51"/>
      <c r="AA27" s="51"/>
      <c r="AF27"/>
      <c r="AG27"/>
      <c r="AH27"/>
      <c r="AI27"/>
      <c r="AJ27"/>
      <c r="AK27"/>
      <c r="AL27"/>
      <c r="AM27"/>
    </row>
    <row r="28" spans="1:39">
      <c r="A28" s="15" t="s">
        <v>95</v>
      </c>
      <c r="B28" s="15" t="s">
        <v>86</v>
      </c>
      <c r="C28" s="15" t="s">
        <v>142</v>
      </c>
      <c r="D28" s="15" t="s">
        <v>107</v>
      </c>
      <c r="E28" s="15" t="s">
        <v>88</v>
      </c>
      <c r="F28" s="15" t="s">
        <v>96</v>
      </c>
      <c r="G28" s="15" t="s">
        <v>143</v>
      </c>
      <c r="H28" s="15" t="s">
        <v>133</v>
      </c>
      <c r="I28" s="15">
        <v>-25000</v>
      </c>
      <c r="L28" s="15">
        <v>-25000</v>
      </c>
      <c r="O28" s="93"/>
      <c r="P28" s="93"/>
      <c r="Q28" s="93"/>
      <c r="R28" s="93"/>
      <c r="S28" s="93"/>
      <c r="T28" s="93"/>
      <c r="U28" s="93"/>
      <c r="V28" s="93"/>
      <c r="X28" s="51"/>
      <c r="Y28" s="51"/>
      <c r="Z28" s="51"/>
      <c r="AA28" s="51"/>
      <c r="AF28"/>
      <c r="AG28"/>
      <c r="AH28"/>
      <c r="AI28"/>
      <c r="AJ28"/>
      <c r="AK28"/>
      <c r="AL28"/>
      <c r="AM28"/>
    </row>
    <row r="29" spans="1:39">
      <c r="A29" s="15" t="s">
        <v>95</v>
      </c>
      <c r="B29" s="15" t="s">
        <v>86</v>
      </c>
      <c r="C29" s="15" t="s">
        <v>142</v>
      </c>
      <c r="D29" s="15" t="s">
        <v>107</v>
      </c>
      <c r="E29" s="15" t="s">
        <v>88</v>
      </c>
      <c r="F29" s="15" t="s">
        <v>96</v>
      </c>
      <c r="G29" s="15" t="s">
        <v>143</v>
      </c>
      <c r="H29" s="15" t="s">
        <v>144</v>
      </c>
      <c r="I29" s="15">
        <v>-25000</v>
      </c>
      <c r="N29" s="15">
        <v>-25000</v>
      </c>
      <c r="O29" s="93"/>
      <c r="P29" s="93"/>
      <c r="Q29" s="93"/>
      <c r="R29" s="93"/>
      <c r="S29" s="93"/>
      <c r="T29" s="93"/>
      <c r="U29" s="93"/>
      <c r="V29" s="93"/>
      <c r="X29" s="51"/>
      <c r="Y29" s="51"/>
      <c r="Z29" s="51"/>
      <c r="AA29" s="51"/>
      <c r="AF29"/>
      <c r="AG29"/>
      <c r="AH29"/>
      <c r="AI29"/>
      <c r="AJ29"/>
      <c r="AK29"/>
      <c r="AL29"/>
      <c r="AM29"/>
    </row>
    <row r="30" spans="1:39">
      <c r="A30" s="15" t="s">
        <v>95</v>
      </c>
      <c r="B30" s="15" t="s">
        <v>86</v>
      </c>
      <c r="C30" s="15" t="s">
        <v>145</v>
      </c>
      <c r="D30" s="15" t="s">
        <v>107</v>
      </c>
      <c r="E30" s="15" t="s">
        <v>88</v>
      </c>
      <c r="F30" s="15" t="s">
        <v>96</v>
      </c>
      <c r="G30" s="15" t="s">
        <v>146</v>
      </c>
      <c r="H30" s="15" t="s">
        <v>131</v>
      </c>
      <c r="I30" s="15">
        <v>-34000</v>
      </c>
      <c r="O30" s="93"/>
      <c r="P30" s="93"/>
      <c r="Q30" s="93"/>
      <c r="R30" s="93"/>
      <c r="S30" s="93">
        <v>-34000</v>
      </c>
      <c r="T30" s="93"/>
      <c r="U30" s="93"/>
      <c r="V30" s="93"/>
      <c r="X30" s="51"/>
      <c r="Y30" s="51"/>
      <c r="Z30" s="51"/>
      <c r="AA30" s="51"/>
      <c r="AF30"/>
      <c r="AG30"/>
      <c r="AH30"/>
      <c r="AI30"/>
      <c r="AJ30"/>
      <c r="AK30"/>
      <c r="AL30"/>
      <c r="AM30"/>
    </row>
    <row r="31" spans="1:39">
      <c r="A31" s="15" t="s">
        <v>95</v>
      </c>
      <c r="B31" s="15" t="s">
        <v>86</v>
      </c>
      <c r="C31" s="15" t="s">
        <v>145</v>
      </c>
      <c r="D31" s="15" t="s">
        <v>107</v>
      </c>
      <c r="E31" s="15" t="s">
        <v>88</v>
      </c>
      <c r="F31" s="15" t="s">
        <v>96</v>
      </c>
      <c r="G31" s="15" t="s">
        <v>147</v>
      </c>
      <c r="H31" s="15" t="s">
        <v>131</v>
      </c>
      <c r="I31" s="15">
        <v>-274788.05</v>
      </c>
      <c r="K31" s="15">
        <v>-274788.05</v>
      </c>
      <c r="O31" s="93"/>
      <c r="P31" s="93"/>
      <c r="Q31" s="93"/>
      <c r="R31" s="93"/>
      <c r="S31" s="93"/>
      <c r="T31" s="93"/>
      <c r="U31" s="93"/>
      <c r="V31" s="93"/>
      <c r="X31" s="51"/>
      <c r="Y31" s="51"/>
      <c r="Z31" s="51"/>
      <c r="AA31" s="51"/>
      <c r="AF31"/>
      <c r="AG31"/>
      <c r="AH31"/>
      <c r="AI31"/>
      <c r="AJ31"/>
      <c r="AK31"/>
      <c r="AL31"/>
      <c r="AM31"/>
    </row>
    <row r="32" spans="1:39">
      <c r="A32" s="15" t="s">
        <v>95</v>
      </c>
      <c r="B32" s="15" t="s">
        <v>86</v>
      </c>
      <c r="C32" s="15" t="s">
        <v>148</v>
      </c>
      <c r="D32" s="15" t="s">
        <v>107</v>
      </c>
      <c r="E32" s="15" t="s">
        <v>88</v>
      </c>
      <c r="F32" s="15" t="s">
        <v>96</v>
      </c>
      <c r="G32" s="15" t="s">
        <v>149</v>
      </c>
      <c r="H32" s="15" t="s">
        <v>131</v>
      </c>
      <c r="I32" s="15">
        <v>-570835.57999999996</v>
      </c>
      <c r="O32" s="93"/>
      <c r="P32" s="93"/>
      <c r="Q32" s="93"/>
      <c r="R32" s="93"/>
      <c r="S32" s="93">
        <v>-570835.57999999996</v>
      </c>
      <c r="T32" s="93"/>
      <c r="U32" s="93"/>
      <c r="V32" s="93"/>
      <c r="X32" s="51"/>
      <c r="Y32" s="51"/>
      <c r="Z32" s="51"/>
      <c r="AA32" s="51"/>
      <c r="AF32"/>
      <c r="AG32"/>
      <c r="AH32"/>
      <c r="AI32"/>
      <c r="AJ32"/>
      <c r="AK32"/>
      <c r="AL32"/>
      <c r="AM32"/>
    </row>
    <row r="33" spans="1:39">
      <c r="A33" s="15" t="s">
        <v>95</v>
      </c>
      <c r="B33" s="15" t="s">
        <v>87</v>
      </c>
      <c r="C33" s="15" t="s">
        <v>129</v>
      </c>
      <c r="D33" s="15" t="s">
        <v>88</v>
      </c>
      <c r="E33" s="15" t="s">
        <v>107</v>
      </c>
      <c r="F33" s="15" t="s">
        <v>95</v>
      </c>
      <c r="G33" s="15" t="s">
        <v>130</v>
      </c>
      <c r="H33" s="15" t="s">
        <v>131</v>
      </c>
      <c r="I33" s="15">
        <v>70000</v>
      </c>
      <c r="O33" s="93"/>
      <c r="P33" s="93"/>
      <c r="Q33" s="93"/>
      <c r="R33" s="93"/>
      <c r="S33" s="93">
        <v>70000</v>
      </c>
      <c r="T33" s="93"/>
      <c r="U33" s="93"/>
      <c r="V33" s="93"/>
      <c r="X33" s="51"/>
      <c r="Y33" s="51"/>
      <c r="Z33" s="51"/>
      <c r="AA33" s="51"/>
      <c r="AF33"/>
      <c r="AG33"/>
      <c r="AH33"/>
      <c r="AI33"/>
      <c r="AJ33"/>
      <c r="AK33"/>
      <c r="AL33"/>
      <c r="AM33"/>
    </row>
    <row r="34" spans="1:39">
      <c r="A34" s="15" t="s">
        <v>95</v>
      </c>
      <c r="B34" s="15" t="s">
        <v>87</v>
      </c>
      <c r="C34" s="15" t="s">
        <v>132</v>
      </c>
      <c r="D34" s="15" t="s">
        <v>88</v>
      </c>
      <c r="E34" s="15" t="s">
        <v>107</v>
      </c>
      <c r="F34" s="15" t="s">
        <v>95</v>
      </c>
      <c r="H34" s="15" t="s">
        <v>133</v>
      </c>
      <c r="I34" s="15">
        <v>25090.12</v>
      </c>
      <c r="L34" s="15">
        <v>25090.12</v>
      </c>
      <c r="O34" s="93"/>
      <c r="P34" s="93"/>
      <c r="Q34" s="93"/>
      <c r="R34" s="93"/>
      <c r="S34" s="93"/>
      <c r="T34" s="93"/>
      <c r="U34" s="93"/>
      <c r="V34" s="93"/>
      <c r="X34" s="51"/>
      <c r="Y34" s="51"/>
      <c r="Z34" s="51"/>
      <c r="AA34" s="51"/>
      <c r="AF34"/>
      <c r="AG34"/>
      <c r="AH34"/>
      <c r="AI34"/>
      <c r="AJ34"/>
      <c r="AK34"/>
      <c r="AL34"/>
      <c r="AM34"/>
    </row>
    <row r="35" spans="1:39">
      <c r="A35" s="15" t="s">
        <v>95</v>
      </c>
      <c r="B35" s="15" t="s">
        <v>87</v>
      </c>
      <c r="C35" s="15" t="s">
        <v>132</v>
      </c>
      <c r="D35" s="15" t="s">
        <v>88</v>
      </c>
      <c r="E35" s="15" t="s">
        <v>107</v>
      </c>
      <c r="F35" s="15" t="s">
        <v>95</v>
      </c>
      <c r="H35" s="15" t="s">
        <v>131</v>
      </c>
      <c r="I35" s="15">
        <v>31935.71</v>
      </c>
      <c r="O35" s="93"/>
      <c r="P35" s="93"/>
      <c r="Q35" s="93"/>
      <c r="R35" s="93"/>
      <c r="S35" s="93">
        <v>31935.71</v>
      </c>
      <c r="T35" s="93"/>
      <c r="U35" s="93"/>
      <c r="V35" s="93"/>
      <c r="X35" s="51"/>
      <c r="Y35" s="51"/>
      <c r="Z35" s="51"/>
      <c r="AA35" s="51"/>
      <c r="AF35"/>
      <c r="AG35"/>
      <c r="AH35"/>
      <c r="AI35"/>
      <c r="AJ35"/>
      <c r="AK35"/>
      <c r="AL35"/>
      <c r="AM35"/>
    </row>
    <row r="36" spans="1:39">
      <c r="A36" s="15" t="s">
        <v>95</v>
      </c>
      <c r="B36" s="15" t="s">
        <v>87</v>
      </c>
      <c r="C36" s="15" t="s">
        <v>134</v>
      </c>
      <c r="D36" s="15" t="s">
        <v>88</v>
      </c>
      <c r="E36" s="15" t="s">
        <v>107</v>
      </c>
      <c r="F36" s="15" t="s">
        <v>95</v>
      </c>
      <c r="H36" s="15" t="s">
        <v>135</v>
      </c>
      <c r="I36" s="15">
        <v>593000</v>
      </c>
      <c r="K36" s="15">
        <v>593000</v>
      </c>
      <c r="O36" s="93"/>
      <c r="P36" s="93"/>
      <c r="Q36" s="93"/>
      <c r="R36" s="93"/>
      <c r="S36" s="93"/>
      <c r="T36" s="93"/>
      <c r="U36" s="93"/>
      <c r="V36" s="93"/>
      <c r="X36" s="51"/>
      <c r="Y36" s="51"/>
      <c r="Z36" s="51"/>
      <c r="AA36" s="51"/>
      <c r="AF36"/>
      <c r="AG36"/>
      <c r="AH36"/>
      <c r="AI36"/>
      <c r="AJ36"/>
      <c r="AK36"/>
      <c r="AL36"/>
      <c r="AM36"/>
    </row>
    <row r="37" spans="1:39">
      <c r="A37" s="15" t="s">
        <v>95</v>
      </c>
      <c r="B37" s="15" t="s">
        <v>123</v>
      </c>
      <c r="C37" s="15" t="s">
        <v>127</v>
      </c>
      <c r="D37" s="15" t="s">
        <v>107</v>
      </c>
      <c r="E37" s="15" t="s">
        <v>102</v>
      </c>
      <c r="F37" s="15" t="s">
        <v>95</v>
      </c>
      <c r="H37" s="15" t="s">
        <v>128</v>
      </c>
      <c r="I37" s="15">
        <v>-137000</v>
      </c>
      <c r="K37" s="15">
        <v>-137000</v>
      </c>
      <c r="O37" s="93"/>
      <c r="P37" s="93"/>
      <c r="Q37" s="93"/>
      <c r="R37" s="93"/>
      <c r="S37" s="93"/>
      <c r="T37" s="93"/>
      <c r="U37" s="93"/>
      <c r="V37" s="93"/>
      <c r="X37" s="51"/>
      <c r="Y37" s="51"/>
      <c r="Z37" s="51"/>
      <c r="AA37" s="51"/>
      <c r="AF37"/>
      <c r="AG37"/>
      <c r="AH37"/>
      <c r="AI37"/>
      <c r="AJ37"/>
      <c r="AK37"/>
      <c r="AL37"/>
      <c r="AM37"/>
    </row>
    <row r="38" spans="1:39">
      <c r="A38" s="15" t="s">
        <v>95</v>
      </c>
      <c r="B38" s="15" t="s">
        <v>98</v>
      </c>
      <c r="C38" s="15" t="s">
        <v>150</v>
      </c>
      <c r="D38" s="15" t="s">
        <v>107</v>
      </c>
      <c r="E38" s="15" t="s">
        <v>88</v>
      </c>
      <c r="F38" s="15" t="s">
        <v>95</v>
      </c>
      <c r="G38" s="15" t="s">
        <v>151</v>
      </c>
      <c r="H38" s="15" t="s">
        <v>152</v>
      </c>
      <c r="I38" s="15">
        <v>-230000</v>
      </c>
      <c r="K38" s="15">
        <v>-230000</v>
      </c>
      <c r="O38" s="93"/>
      <c r="P38" s="93"/>
      <c r="Q38" s="93"/>
      <c r="R38" s="93"/>
      <c r="S38" s="93"/>
      <c r="T38" s="93"/>
      <c r="U38" s="93"/>
      <c r="V38" s="93"/>
      <c r="X38" s="51"/>
      <c r="Y38" s="51"/>
      <c r="Z38" s="51"/>
      <c r="AA38" s="51"/>
      <c r="AF38"/>
      <c r="AG38"/>
      <c r="AH38"/>
      <c r="AI38"/>
      <c r="AJ38"/>
      <c r="AK38"/>
      <c r="AL38"/>
      <c r="AM38"/>
    </row>
    <row r="39" spans="1:39">
      <c r="A39" s="15" t="s">
        <v>95</v>
      </c>
      <c r="B39" s="15" t="s">
        <v>98</v>
      </c>
      <c r="C39" s="15" t="s">
        <v>153</v>
      </c>
      <c r="D39" s="15" t="s">
        <v>107</v>
      </c>
      <c r="E39" s="15" t="s">
        <v>88</v>
      </c>
      <c r="F39" s="15" t="s">
        <v>95</v>
      </c>
      <c r="G39" s="15" t="s">
        <v>149</v>
      </c>
      <c r="H39" s="15" t="s">
        <v>138</v>
      </c>
      <c r="I39" s="15">
        <v>-50000</v>
      </c>
      <c r="O39" s="93"/>
      <c r="P39" s="93"/>
      <c r="Q39" s="93"/>
      <c r="R39" s="93"/>
      <c r="S39" s="93">
        <v>-50000</v>
      </c>
      <c r="T39" s="93"/>
      <c r="U39" s="93"/>
      <c r="V39" s="93"/>
      <c r="X39" s="51"/>
      <c r="Y39" s="51"/>
      <c r="Z39" s="51"/>
      <c r="AA39" s="51"/>
      <c r="AF39"/>
      <c r="AG39"/>
      <c r="AH39"/>
      <c r="AI39"/>
      <c r="AJ39"/>
      <c r="AK39"/>
      <c r="AL39"/>
      <c r="AM39"/>
    </row>
    <row r="40" spans="1:39">
      <c r="A40" s="15" t="s">
        <v>95</v>
      </c>
      <c r="B40" s="15" t="s">
        <v>98</v>
      </c>
      <c r="C40" s="15" t="s">
        <v>154</v>
      </c>
      <c r="D40" s="15" t="s">
        <v>107</v>
      </c>
      <c r="E40" s="15" t="s">
        <v>120</v>
      </c>
      <c r="F40" s="15" t="s">
        <v>95</v>
      </c>
      <c r="G40" s="15" t="s">
        <v>103</v>
      </c>
      <c r="H40" s="15" t="s">
        <v>155</v>
      </c>
      <c r="I40" s="15">
        <v>-45000</v>
      </c>
      <c r="K40" s="15">
        <v>-45000</v>
      </c>
      <c r="O40" s="93"/>
      <c r="P40" s="93"/>
      <c r="Q40" s="93"/>
      <c r="R40" s="93"/>
      <c r="S40" s="93"/>
      <c r="T40" s="93"/>
      <c r="U40" s="93"/>
      <c r="V40" s="93"/>
      <c r="X40" s="51"/>
      <c r="Y40" s="51"/>
      <c r="Z40" s="51"/>
      <c r="AA40" s="51"/>
      <c r="AF40"/>
      <c r="AG40"/>
      <c r="AH40"/>
      <c r="AI40"/>
      <c r="AJ40"/>
      <c r="AK40"/>
      <c r="AL40"/>
      <c r="AM40"/>
    </row>
    <row r="41" spans="1:39">
      <c r="A41" s="15" t="s">
        <v>96</v>
      </c>
      <c r="B41" s="15" t="s">
        <v>87</v>
      </c>
      <c r="C41" s="15" t="s">
        <v>142</v>
      </c>
      <c r="D41" s="15" t="s">
        <v>88</v>
      </c>
      <c r="E41" s="15" t="s">
        <v>107</v>
      </c>
      <c r="F41" s="15" t="s">
        <v>96</v>
      </c>
      <c r="G41" s="15" t="s">
        <v>143</v>
      </c>
      <c r="H41" s="15" t="s">
        <v>133</v>
      </c>
      <c r="I41" s="15">
        <v>25000</v>
      </c>
      <c r="L41" s="15">
        <v>25000</v>
      </c>
      <c r="O41" s="93"/>
      <c r="P41" s="93"/>
      <c r="Q41" s="93"/>
      <c r="R41" s="93"/>
      <c r="S41" s="93"/>
      <c r="T41" s="93"/>
      <c r="U41" s="93"/>
      <c r="V41" s="93"/>
      <c r="X41" s="51"/>
      <c r="Y41" s="51"/>
      <c r="Z41" s="51"/>
      <c r="AA41" s="51"/>
      <c r="AF41"/>
      <c r="AG41"/>
      <c r="AH41"/>
      <c r="AI41"/>
      <c r="AJ41"/>
      <c r="AK41"/>
      <c r="AL41"/>
      <c r="AM41"/>
    </row>
    <row r="42" spans="1:39">
      <c r="A42" s="15" t="s">
        <v>96</v>
      </c>
      <c r="B42" s="15" t="s">
        <v>87</v>
      </c>
      <c r="C42" s="15" t="s">
        <v>142</v>
      </c>
      <c r="D42" s="15" t="s">
        <v>88</v>
      </c>
      <c r="E42" s="15" t="s">
        <v>107</v>
      </c>
      <c r="F42" s="15" t="s">
        <v>96</v>
      </c>
      <c r="G42" s="15" t="s">
        <v>143</v>
      </c>
      <c r="H42" s="15" t="s">
        <v>144</v>
      </c>
      <c r="I42" s="15">
        <v>25000</v>
      </c>
      <c r="N42" s="15">
        <v>25000</v>
      </c>
      <c r="O42" s="93"/>
      <c r="P42" s="93"/>
      <c r="Q42" s="93"/>
      <c r="R42" s="93"/>
      <c r="S42" s="93"/>
      <c r="T42" s="93"/>
      <c r="U42" s="93"/>
      <c r="V42" s="93"/>
      <c r="X42" s="51"/>
      <c r="Y42" s="51"/>
      <c r="Z42" s="51"/>
      <c r="AA42" s="51"/>
      <c r="AF42"/>
      <c r="AG42"/>
      <c r="AH42"/>
      <c r="AI42"/>
      <c r="AJ42"/>
      <c r="AK42"/>
      <c r="AL42"/>
      <c r="AM42"/>
    </row>
    <row r="43" spans="1:39">
      <c r="A43" s="15" t="s">
        <v>96</v>
      </c>
      <c r="B43" s="15" t="s">
        <v>87</v>
      </c>
      <c r="C43" s="15" t="s">
        <v>145</v>
      </c>
      <c r="D43" s="15" t="s">
        <v>88</v>
      </c>
      <c r="E43" s="15" t="s">
        <v>107</v>
      </c>
      <c r="F43" s="15" t="s">
        <v>96</v>
      </c>
      <c r="G43" s="15" t="s">
        <v>146</v>
      </c>
      <c r="H43" s="15" t="s">
        <v>131</v>
      </c>
      <c r="I43" s="15">
        <v>34000</v>
      </c>
      <c r="O43" s="93"/>
      <c r="P43" s="93"/>
      <c r="Q43" s="93"/>
      <c r="R43" s="93"/>
      <c r="S43" s="93">
        <v>34000</v>
      </c>
      <c r="T43" s="93"/>
      <c r="U43" s="93"/>
      <c r="V43" s="93"/>
      <c r="X43" s="51"/>
      <c r="Y43" s="51"/>
      <c r="Z43" s="51"/>
      <c r="AA43" s="51"/>
      <c r="AF43"/>
      <c r="AG43"/>
      <c r="AH43"/>
      <c r="AI43"/>
      <c r="AJ43"/>
      <c r="AK43"/>
      <c r="AL43"/>
      <c r="AM43"/>
    </row>
    <row r="44" spans="1:39">
      <c r="A44" s="15" t="s">
        <v>96</v>
      </c>
      <c r="B44" s="15" t="s">
        <v>87</v>
      </c>
      <c r="C44" s="15" t="s">
        <v>145</v>
      </c>
      <c r="D44" s="15" t="s">
        <v>88</v>
      </c>
      <c r="E44" s="15" t="s">
        <v>107</v>
      </c>
      <c r="F44" s="15" t="s">
        <v>96</v>
      </c>
      <c r="G44" s="15" t="s">
        <v>147</v>
      </c>
      <c r="H44" s="15" t="s">
        <v>131</v>
      </c>
      <c r="I44" s="15">
        <v>274788.05</v>
      </c>
      <c r="K44" s="15">
        <v>274788.05</v>
      </c>
      <c r="O44" s="93"/>
      <c r="P44" s="93"/>
      <c r="Q44" s="93"/>
      <c r="R44" s="93"/>
      <c r="S44" s="93"/>
      <c r="T44" s="93"/>
      <c r="U44" s="93"/>
      <c r="V44" s="93"/>
      <c r="X44" s="51"/>
      <c r="Y44" s="51"/>
      <c r="Z44" s="51"/>
      <c r="AA44" s="51"/>
      <c r="AF44"/>
      <c r="AG44"/>
      <c r="AH44"/>
      <c r="AI44"/>
      <c r="AJ44"/>
      <c r="AK44"/>
      <c r="AL44"/>
      <c r="AM44"/>
    </row>
    <row r="45" spans="1:39">
      <c r="A45" s="15" t="s">
        <v>96</v>
      </c>
      <c r="B45" s="15" t="s">
        <v>87</v>
      </c>
      <c r="C45" s="15" t="s">
        <v>148</v>
      </c>
      <c r="D45" s="15" t="s">
        <v>88</v>
      </c>
      <c r="E45" s="15" t="s">
        <v>107</v>
      </c>
      <c r="F45" s="15" t="s">
        <v>96</v>
      </c>
      <c r="G45" s="15" t="s">
        <v>149</v>
      </c>
      <c r="H45" s="15" t="s">
        <v>131</v>
      </c>
      <c r="I45" s="15">
        <v>570835.57999999996</v>
      </c>
      <c r="O45" s="93"/>
      <c r="P45" s="93"/>
      <c r="Q45" s="93"/>
      <c r="R45" s="93"/>
      <c r="S45" s="93">
        <v>570835.57999999996</v>
      </c>
      <c r="T45" s="93"/>
      <c r="U45" s="93"/>
      <c r="V45" s="93"/>
      <c r="X45" s="51"/>
      <c r="Y45" s="51"/>
      <c r="Z45" s="51"/>
      <c r="AA45" s="51"/>
      <c r="AF45"/>
      <c r="AG45"/>
      <c r="AH45"/>
      <c r="AI45"/>
      <c r="AJ45"/>
      <c r="AK45"/>
      <c r="AL45"/>
      <c r="AM45"/>
    </row>
    <row r="46" spans="1:39">
      <c r="A46" s="15" t="s">
        <v>96</v>
      </c>
      <c r="B46" s="15" t="s">
        <v>98</v>
      </c>
      <c r="C46" s="15" t="s">
        <v>156</v>
      </c>
      <c r="D46" s="15" t="s">
        <v>107</v>
      </c>
      <c r="E46" s="15" t="s">
        <v>88</v>
      </c>
      <c r="F46" s="15" t="s">
        <v>96</v>
      </c>
      <c r="G46" s="15" t="s">
        <v>157</v>
      </c>
      <c r="H46" s="15" t="s">
        <v>138</v>
      </c>
      <c r="I46" s="15">
        <v>-633000</v>
      </c>
      <c r="O46" s="93"/>
      <c r="P46" s="93"/>
      <c r="Q46" s="93"/>
      <c r="R46" s="93"/>
      <c r="S46" s="93">
        <v>-633000</v>
      </c>
      <c r="T46" s="93"/>
      <c r="U46" s="93"/>
      <c r="V46" s="93"/>
      <c r="X46" s="51"/>
      <c r="Y46" s="51"/>
      <c r="Z46" s="51"/>
      <c r="AA46" s="51"/>
      <c r="AF46"/>
      <c r="AG46"/>
      <c r="AH46"/>
      <c r="AI46"/>
      <c r="AJ46"/>
      <c r="AK46"/>
      <c r="AL46"/>
      <c r="AM46"/>
    </row>
    <row r="47" spans="1:39">
      <c r="A47" s="15" t="s">
        <v>90</v>
      </c>
      <c r="B47" s="15" t="s">
        <v>118</v>
      </c>
      <c r="C47" s="15" t="s">
        <v>189</v>
      </c>
      <c r="D47" s="15" t="s">
        <v>88</v>
      </c>
      <c r="E47" s="15" t="s">
        <v>107</v>
      </c>
      <c r="F47" s="15" t="s">
        <v>182</v>
      </c>
      <c r="G47" s="15" t="s">
        <v>164</v>
      </c>
      <c r="H47" s="15" t="s">
        <v>190</v>
      </c>
      <c r="I47" s="15">
        <v>144000</v>
      </c>
      <c r="O47" s="93"/>
      <c r="P47" s="93">
        <v>144000</v>
      </c>
      <c r="Q47" s="93"/>
      <c r="R47" s="93"/>
      <c r="S47" s="93"/>
      <c r="T47" s="93"/>
      <c r="U47" s="93"/>
      <c r="V47" s="93"/>
      <c r="X47" s="51"/>
      <c r="Y47" s="51"/>
      <c r="Z47" s="51"/>
      <c r="AA47" s="51"/>
      <c r="AF47"/>
      <c r="AG47"/>
      <c r="AH47"/>
      <c r="AI47"/>
      <c r="AJ47"/>
      <c r="AK47"/>
      <c r="AL47"/>
      <c r="AM47"/>
    </row>
    <row r="48" spans="1:39">
      <c r="A48" s="15" t="s">
        <v>90</v>
      </c>
      <c r="B48" s="15" t="s">
        <v>118</v>
      </c>
      <c r="C48" s="15" t="s">
        <v>189</v>
      </c>
      <c r="D48" s="15" t="s">
        <v>88</v>
      </c>
      <c r="E48" s="15" t="s">
        <v>107</v>
      </c>
      <c r="F48" s="15" t="s">
        <v>188</v>
      </c>
      <c r="G48" s="15" t="s">
        <v>164</v>
      </c>
      <c r="H48" s="15" t="s">
        <v>190</v>
      </c>
      <c r="I48" s="15">
        <v>206000</v>
      </c>
      <c r="P48" s="15">
        <v>206000</v>
      </c>
      <c r="X48" s="51"/>
      <c r="Y48" s="51"/>
      <c r="Z48" s="51"/>
      <c r="AA48" s="51"/>
      <c r="AF48"/>
      <c r="AG48"/>
      <c r="AH48"/>
      <c r="AI48"/>
      <c r="AJ48"/>
      <c r="AK48"/>
      <c r="AL48"/>
      <c r="AM48"/>
    </row>
    <row r="49" spans="1:39">
      <c r="A49" s="15" t="s">
        <v>90</v>
      </c>
      <c r="B49" s="15" t="s">
        <v>118</v>
      </c>
      <c r="C49" s="15" t="s">
        <v>165</v>
      </c>
      <c r="D49" s="15" t="s">
        <v>166</v>
      </c>
      <c r="E49" s="15" t="s">
        <v>107</v>
      </c>
      <c r="F49" s="15" t="s">
        <v>167</v>
      </c>
      <c r="G49" s="15" t="s">
        <v>168</v>
      </c>
      <c r="H49" s="15" t="s">
        <v>169</v>
      </c>
      <c r="I49" s="15">
        <v>10000</v>
      </c>
      <c r="P49" s="15">
        <v>10000</v>
      </c>
      <c r="X49" s="51"/>
      <c r="Y49" s="51"/>
      <c r="Z49" s="51"/>
      <c r="AA49" s="51"/>
      <c r="AF49"/>
      <c r="AG49"/>
      <c r="AH49"/>
      <c r="AI49"/>
      <c r="AJ49"/>
      <c r="AK49"/>
      <c r="AL49"/>
      <c r="AM49"/>
    </row>
    <row r="50" spans="1:39">
      <c r="A50" s="97" t="s">
        <v>90</v>
      </c>
      <c r="B50" s="97" t="s">
        <v>86</v>
      </c>
      <c r="C50" s="97" t="s">
        <v>173</v>
      </c>
      <c r="D50" s="97" t="s">
        <v>107</v>
      </c>
      <c r="E50" s="97" t="s">
        <v>88</v>
      </c>
      <c r="F50" s="97" t="s">
        <v>174</v>
      </c>
      <c r="G50" s="97" t="s">
        <v>175</v>
      </c>
      <c r="H50" s="97" t="s">
        <v>135</v>
      </c>
      <c r="I50" s="97">
        <v>-99881.88</v>
      </c>
      <c r="J50" s="97"/>
      <c r="K50" s="97">
        <v>-99881.88</v>
      </c>
      <c r="L50" s="97"/>
      <c r="M50" s="97"/>
      <c r="N50" s="97"/>
      <c r="O50" s="97"/>
      <c r="P50" s="97"/>
      <c r="Q50" s="97"/>
      <c r="R50" s="97"/>
      <c r="S50" s="97"/>
      <c r="T50" s="97"/>
      <c r="U50" s="97"/>
      <c r="V50" s="97"/>
      <c r="W50" s="97"/>
      <c r="X50" s="51"/>
      <c r="Y50" s="51"/>
      <c r="Z50" s="51"/>
      <c r="AA50" s="51"/>
      <c r="AF50"/>
      <c r="AG50"/>
      <c r="AH50"/>
      <c r="AI50"/>
      <c r="AJ50"/>
      <c r="AK50"/>
      <c r="AL50"/>
      <c r="AM50"/>
    </row>
    <row r="51" spans="1:39">
      <c r="A51" s="15" t="s">
        <v>90</v>
      </c>
      <c r="B51" s="15" t="s">
        <v>123</v>
      </c>
      <c r="C51" s="15" t="s">
        <v>139</v>
      </c>
      <c r="D51" s="15" t="s">
        <v>107</v>
      </c>
      <c r="E51" s="15" t="s">
        <v>120</v>
      </c>
      <c r="F51" s="15" t="s">
        <v>90</v>
      </c>
      <c r="G51" s="15" t="s">
        <v>140</v>
      </c>
      <c r="H51" s="15" t="s">
        <v>141</v>
      </c>
      <c r="I51" s="15">
        <v>-650000</v>
      </c>
      <c r="O51" s="15">
        <v>-158600</v>
      </c>
      <c r="P51" s="15">
        <v>-491400</v>
      </c>
      <c r="X51" s="51"/>
      <c r="Y51" s="51"/>
      <c r="Z51" s="51"/>
      <c r="AA51" s="51"/>
      <c r="AF51"/>
      <c r="AG51"/>
      <c r="AH51"/>
      <c r="AI51"/>
      <c r="AJ51"/>
      <c r="AK51"/>
      <c r="AL51"/>
      <c r="AM51"/>
    </row>
    <row r="52" spans="1:39">
      <c r="A52" s="15" t="s">
        <v>90</v>
      </c>
      <c r="B52" s="15" t="s">
        <v>170</v>
      </c>
      <c r="C52" s="15" t="s">
        <v>171</v>
      </c>
      <c r="D52" s="15" t="s">
        <v>88</v>
      </c>
      <c r="E52" s="15" t="s">
        <v>107</v>
      </c>
      <c r="F52" s="15" t="s">
        <v>90</v>
      </c>
      <c r="G52" s="15" t="s">
        <v>164</v>
      </c>
      <c r="H52" s="15" t="s">
        <v>172</v>
      </c>
      <c r="I52" s="15">
        <v>315000</v>
      </c>
      <c r="J52" s="15">
        <v>315000</v>
      </c>
      <c r="X52" s="51"/>
      <c r="Y52" s="51"/>
      <c r="Z52" s="51"/>
      <c r="AA52" s="51"/>
      <c r="AF52"/>
      <c r="AG52"/>
      <c r="AH52"/>
      <c r="AI52"/>
      <c r="AJ52"/>
      <c r="AK52"/>
      <c r="AL52"/>
      <c r="AM52"/>
    </row>
    <row r="53" spans="1:39">
      <c r="A53" s="98" t="s">
        <v>167</v>
      </c>
      <c r="B53" s="98" t="s">
        <v>86</v>
      </c>
      <c r="C53" s="98" t="s">
        <v>177</v>
      </c>
      <c r="D53" s="98" t="s">
        <v>107</v>
      </c>
      <c r="E53" s="98" t="s">
        <v>88</v>
      </c>
      <c r="F53" s="98" t="s">
        <v>178</v>
      </c>
      <c r="G53" s="98" t="s">
        <v>179</v>
      </c>
      <c r="H53" s="98" t="s">
        <v>180</v>
      </c>
      <c r="I53" s="98">
        <v>-156591</v>
      </c>
      <c r="J53" s="98"/>
      <c r="K53" s="98"/>
      <c r="L53" s="98"/>
      <c r="M53" s="98"/>
      <c r="N53" s="98"/>
      <c r="O53" s="98"/>
      <c r="P53" s="98"/>
      <c r="Q53" s="98"/>
      <c r="R53" s="98"/>
      <c r="S53" s="98">
        <v>-156591</v>
      </c>
      <c r="T53" s="98"/>
      <c r="U53" s="98"/>
      <c r="V53" s="98"/>
      <c r="W53" s="98"/>
      <c r="X53" s="51"/>
      <c r="Y53" s="51"/>
      <c r="Z53" s="51"/>
      <c r="AA53" s="51"/>
      <c r="AF53"/>
      <c r="AG53"/>
      <c r="AH53"/>
      <c r="AI53"/>
      <c r="AJ53"/>
      <c r="AK53"/>
      <c r="AL53"/>
      <c r="AM53"/>
    </row>
    <row r="54" spans="1:39">
      <c r="A54" s="98" t="s">
        <v>167</v>
      </c>
      <c r="B54" s="98" t="s">
        <v>123</v>
      </c>
      <c r="C54" s="98" t="s">
        <v>165</v>
      </c>
      <c r="D54" s="98" t="s">
        <v>107</v>
      </c>
      <c r="E54" s="98" t="s">
        <v>166</v>
      </c>
      <c r="F54" s="98" t="s">
        <v>167</v>
      </c>
      <c r="G54" s="98" t="s">
        <v>168</v>
      </c>
      <c r="H54" s="98" t="s">
        <v>169</v>
      </c>
      <c r="I54" s="98">
        <v>-10000</v>
      </c>
      <c r="J54" s="98"/>
      <c r="K54" s="98"/>
      <c r="L54" s="98"/>
      <c r="M54" s="98"/>
      <c r="N54" s="98"/>
      <c r="O54" s="98"/>
      <c r="P54" s="98">
        <v>-10000</v>
      </c>
      <c r="Q54" s="98"/>
      <c r="R54" s="98"/>
      <c r="S54" s="98"/>
      <c r="T54" s="98"/>
      <c r="U54" s="98"/>
      <c r="V54" s="98"/>
      <c r="W54" s="98"/>
      <c r="X54" s="51"/>
      <c r="Y54" s="51"/>
      <c r="Z54" s="51"/>
      <c r="AA54" s="51"/>
      <c r="AF54"/>
      <c r="AG54"/>
      <c r="AH54"/>
      <c r="AI54"/>
      <c r="AJ54"/>
      <c r="AK54"/>
      <c r="AL54"/>
      <c r="AM54"/>
    </row>
    <row r="55" spans="1:39">
      <c r="A55" s="98" t="s">
        <v>178</v>
      </c>
      <c r="B55" s="98" t="s">
        <v>86</v>
      </c>
      <c r="C55" s="98" t="s">
        <v>181</v>
      </c>
      <c r="D55" s="98" t="s">
        <v>107</v>
      </c>
      <c r="E55" s="98" t="s">
        <v>88</v>
      </c>
      <c r="F55" s="98" t="s">
        <v>182</v>
      </c>
      <c r="G55" s="98" t="s">
        <v>187</v>
      </c>
      <c r="H55" s="98" t="s">
        <v>135</v>
      </c>
      <c r="I55" s="98">
        <v>-2234.7199999999998</v>
      </c>
      <c r="J55" s="98"/>
      <c r="K55" s="98">
        <v>-2234.7199999999998</v>
      </c>
      <c r="L55" s="98"/>
      <c r="M55" s="98"/>
      <c r="N55" s="98"/>
      <c r="O55" s="98"/>
      <c r="P55" s="98"/>
      <c r="Q55" s="98"/>
      <c r="R55" s="98"/>
      <c r="S55" s="98"/>
      <c r="T55" s="98"/>
      <c r="U55" s="98"/>
      <c r="V55" s="98"/>
      <c r="W55" s="98"/>
      <c r="X55" s="51"/>
      <c r="Y55" s="51"/>
      <c r="Z55" s="51"/>
      <c r="AA55" s="51"/>
      <c r="AF55"/>
      <c r="AG55"/>
      <c r="AH55"/>
      <c r="AI55"/>
      <c r="AJ55"/>
      <c r="AK55"/>
      <c r="AL55"/>
      <c r="AM55"/>
    </row>
    <row r="56" spans="1:39">
      <c r="A56" s="98" t="s">
        <v>178</v>
      </c>
      <c r="B56" s="98" t="s">
        <v>87</v>
      </c>
      <c r="C56" s="98" t="s">
        <v>177</v>
      </c>
      <c r="D56" s="98" t="s">
        <v>88</v>
      </c>
      <c r="E56" s="98" t="s">
        <v>107</v>
      </c>
      <c r="F56" s="98" t="s">
        <v>178</v>
      </c>
      <c r="G56" s="98" t="s">
        <v>179</v>
      </c>
      <c r="H56" s="98" t="s">
        <v>180</v>
      </c>
      <c r="I56" s="98">
        <v>156591</v>
      </c>
      <c r="J56" s="98"/>
      <c r="K56" s="98"/>
      <c r="L56" s="98"/>
      <c r="M56" s="98"/>
      <c r="N56" s="98"/>
      <c r="O56" s="98"/>
      <c r="P56" s="98"/>
      <c r="Q56" s="98"/>
      <c r="R56" s="98"/>
      <c r="S56" s="98">
        <v>156591</v>
      </c>
      <c r="T56" s="98"/>
      <c r="U56" s="98"/>
      <c r="V56" s="98"/>
      <c r="W56" s="98"/>
      <c r="X56" s="51"/>
      <c r="Y56" s="51"/>
      <c r="Z56" s="51"/>
      <c r="AA56" s="51"/>
      <c r="AF56"/>
      <c r="AG56"/>
      <c r="AH56"/>
      <c r="AI56"/>
      <c r="AJ56"/>
      <c r="AK56"/>
      <c r="AL56"/>
      <c r="AM56"/>
    </row>
    <row r="57" spans="1:39">
      <c r="A57" s="100" t="s">
        <v>182</v>
      </c>
      <c r="B57" s="100" t="s">
        <v>86</v>
      </c>
      <c r="C57" s="100" t="s">
        <v>207</v>
      </c>
      <c r="D57" s="100" t="s">
        <v>107</v>
      </c>
      <c r="E57" s="100" t="s">
        <v>88</v>
      </c>
      <c r="F57" s="100" t="s">
        <v>174</v>
      </c>
      <c r="G57" s="100" t="s">
        <v>224</v>
      </c>
      <c r="H57" s="100" t="s">
        <v>208</v>
      </c>
      <c r="I57" s="100">
        <v>-184375.66</v>
      </c>
      <c r="J57" s="100"/>
      <c r="K57" s="100"/>
      <c r="L57" s="100"/>
      <c r="M57" s="100"/>
      <c r="N57" s="100"/>
      <c r="O57" s="100"/>
      <c r="P57" s="100"/>
      <c r="Q57" s="100"/>
      <c r="R57" s="100"/>
      <c r="S57" s="100"/>
      <c r="T57" s="100"/>
      <c r="U57" s="100"/>
      <c r="V57" s="100"/>
      <c r="W57" s="100">
        <v>-184375.66</v>
      </c>
      <c r="X57" s="51"/>
      <c r="Y57" s="51"/>
      <c r="Z57" s="51"/>
      <c r="AA57" s="51"/>
      <c r="AF57"/>
      <c r="AG57"/>
      <c r="AH57"/>
      <c r="AI57"/>
      <c r="AJ57"/>
      <c r="AK57"/>
      <c r="AL57"/>
      <c r="AM57"/>
    </row>
    <row r="58" spans="1:39">
      <c r="A58" s="100" t="s">
        <v>182</v>
      </c>
      <c r="B58" s="100" t="s">
        <v>87</v>
      </c>
      <c r="C58" s="100" t="s">
        <v>181</v>
      </c>
      <c r="D58" s="100" t="s">
        <v>88</v>
      </c>
      <c r="E58" s="100" t="s">
        <v>107</v>
      </c>
      <c r="F58" s="100" t="s">
        <v>182</v>
      </c>
      <c r="G58" s="100" t="s">
        <v>187</v>
      </c>
      <c r="H58" s="100" t="s">
        <v>135</v>
      </c>
      <c r="I58" s="100">
        <v>2234.7199999999998</v>
      </c>
      <c r="J58" s="100"/>
      <c r="K58" s="100">
        <v>2234.7199999999998</v>
      </c>
      <c r="L58" s="100"/>
      <c r="M58" s="100"/>
      <c r="N58" s="100"/>
      <c r="O58" s="100"/>
      <c r="P58" s="100"/>
      <c r="Q58" s="100"/>
      <c r="R58" s="100"/>
      <c r="S58" s="100"/>
      <c r="T58" s="100"/>
      <c r="U58" s="100"/>
      <c r="V58" s="100"/>
      <c r="W58" s="100"/>
      <c r="X58" s="51"/>
      <c r="Y58" s="51"/>
      <c r="Z58" s="51"/>
      <c r="AA58" s="51"/>
      <c r="AF58"/>
      <c r="AG58"/>
      <c r="AH58"/>
      <c r="AI58"/>
      <c r="AJ58"/>
      <c r="AK58"/>
      <c r="AL58"/>
      <c r="AM58"/>
    </row>
    <row r="59" spans="1:39">
      <c r="A59" s="100" t="s">
        <v>182</v>
      </c>
      <c r="B59" s="100" t="s">
        <v>123</v>
      </c>
      <c r="C59" s="100" t="s">
        <v>189</v>
      </c>
      <c r="D59" s="100" t="s">
        <v>107</v>
      </c>
      <c r="E59" s="100" t="s">
        <v>88</v>
      </c>
      <c r="F59" s="100" t="s">
        <v>182</v>
      </c>
      <c r="G59" s="100" t="s">
        <v>164</v>
      </c>
      <c r="H59" s="100" t="s">
        <v>190</v>
      </c>
      <c r="I59" s="100">
        <v>-144000</v>
      </c>
      <c r="J59" s="100"/>
      <c r="K59" s="100"/>
      <c r="L59" s="100"/>
      <c r="M59" s="100"/>
      <c r="N59" s="100"/>
      <c r="O59" s="100"/>
      <c r="P59" s="100">
        <v>-144000</v>
      </c>
      <c r="Q59" s="100"/>
      <c r="R59" s="100"/>
      <c r="S59" s="100"/>
      <c r="T59" s="100"/>
      <c r="U59" s="100"/>
      <c r="V59" s="100"/>
      <c r="W59" s="100"/>
      <c r="X59" s="51"/>
      <c r="Y59" s="51"/>
      <c r="Z59" s="51"/>
      <c r="AA59" s="51"/>
      <c r="AF59"/>
      <c r="AG59"/>
      <c r="AH59"/>
      <c r="AI59"/>
      <c r="AJ59"/>
      <c r="AK59"/>
      <c r="AL59"/>
      <c r="AM59"/>
    </row>
    <row r="60" spans="1:39">
      <c r="A60" s="100" t="s">
        <v>174</v>
      </c>
      <c r="B60" s="100" t="s">
        <v>86</v>
      </c>
      <c r="C60" s="100" t="s">
        <v>233</v>
      </c>
      <c r="D60" s="100" t="s">
        <v>107</v>
      </c>
      <c r="E60" s="100" t="s">
        <v>88</v>
      </c>
      <c r="F60" s="100" t="s">
        <v>188</v>
      </c>
      <c r="G60" s="100" t="s">
        <v>234</v>
      </c>
      <c r="H60" s="100" t="s">
        <v>235</v>
      </c>
      <c r="I60" s="100">
        <v>-94300.59</v>
      </c>
      <c r="J60" s="100"/>
      <c r="K60" s="100">
        <v>-92591.59</v>
      </c>
      <c r="L60" s="100"/>
      <c r="M60" s="100"/>
      <c r="N60" s="100"/>
      <c r="O60" s="100">
        <v>-1709</v>
      </c>
      <c r="P60" s="100"/>
      <c r="Q60" s="100"/>
      <c r="R60" s="100"/>
      <c r="S60" s="100"/>
      <c r="T60" s="100"/>
      <c r="U60" s="100"/>
      <c r="V60" s="100"/>
      <c r="W60" s="100"/>
      <c r="X60" s="51"/>
      <c r="Y60" s="51"/>
      <c r="Z60" s="51"/>
      <c r="AA60" s="51"/>
      <c r="AF60"/>
      <c r="AG60"/>
      <c r="AH60"/>
      <c r="AI60"/>
      <c r="AJ60"/>
      <c r="AK60"/>
      <c r="AL60"/>
      <c r="AM60"/>
    </row>
    <row r="61" spans="1:39">
      <c r="A61" s="140" t="s">
        <v>174</v>
      </c>
      <c r="B61" s="140" t="s">
        <v>87</v>
      </c>
      <c r="C61" s="140" t="s">
        <v>173</v>
      </c>
      <c r="D61" s="140" t="s">
        <v>88</v>
      </c>
      <c r="E61" s="140" t="s">
        <v>107</v>
      </c>
      <c r="F61" s="140" t="s">
        <v>174</v>
      </c>
      <c r="G61" s="140" t="s">
        <v>175</v>
      </c>
      <c r="H61" s="140" t="s">
        <v>135</v>
      </c>
      <c r="I61" s="140">
        <v>99881.88</v>
      </c>
      <c r="J61" s="140"/>
      <c r="K61" s="140">
        <v>99881.88</v>
      </c>
      <c r="L61" s="140"/>
      <c r="M61" s="140"/>
      <c r="N61" s="140"/>
      <c r="O61" s="140"/>
      <c r="P61" s="140"/>
      <c r="Q61" s="140"/>
      <c r="R61" s="140"/>
      <c r="S61" s="140"/>
      <c r="T61" s="140"/>
      <c r="U61" s="140"/>
      <c r="V61" s="140"/>
      <c r="W61" s="140"/>
      <c r="X61" s="51"/>
      <c r="Y61" s="51"/>
      <c r="Z61" s="51"/>
      <c r="AA61" s="51"/>
      <c r="AF61"/>
      <c r="AG61"/>
      <c r="AH61"/>
      <c r="AI61"/>
      <c r="AJ61"/>
      <c r="AK61"/>
      <c r="AL61"/>
      <c r="AM61"/>
    </row>
    <row r="62" spans="1:39">
      <c r="A62" s="140" t="s">
        <v>174</v>
      </c>
      <c r="B62" s="140" t="s">
        <v>87</v>
      </c>
      <c r="C62" s="140" t="s">
        <v>207</v>
      </c>
      <c r="D62" s="140" t="s">
        <v>88</v>
      </c>
      <c r="E62" s="140" t="s">
        <v>107</v>
      </c>
      <c r="F62" s="140" t="s">
        <v>174</v>
      </c>
      <c r="G62" s="140" t="s">
        <v>224</v>
      </c>
      <c r="H62" s="140" t="s">
        <v>208</v>
      </c>
      <c r="I62" s="140">
        <v>184375.66</v>
      </c>
      <c r="J62" s="140"/>
      <c r="K62" s="140"/>
      <c r="L62" s="140"/>
      <c r="M62" s="140"/>
      <c r="N62" s="140"/>
      <c r="O62" s="140"/>
      <c r="P62" s="140"/>
      <c r="Q62" s="140"/>
      <c r="R62" s="140"/>
      <c r="S62" s="140"/>
      <c r="T62" s="140"/>
      <c r="U62" s="140"/>
      <c r="V62" s="140"/>
      <c r="W62" s="140">
        <v>184375.66</v>
      </c>
      <c r="X62" s="51"/>
      <c r="Y62" s="51"/>
      <c r="Z62" s="51"/>
      <c r="AA62" s="51"/>
      <c r="AF62"/>
      <c r="AG62"/>
      <c r="AH62"/>
      <c r="AI62"/>
      <c r="AJ62"/>
      <c r="AK62"/>
      <c r="AL62"/>
      <c r="AM62"/>
    </row>
    <row r="63" spans="1:39">
      <c r="A63" s="15" t="s">
        <v>174</v>
      </c>
      <c r="B63" s="15" t="s">
        <v>170</v>
      </c>
      <c r="C63" s="15" t="s">
        <v>230</v>
      </c>
      <c r="D63" s="15" t="s">
        <v>120</v>
      </c>
      <c r="E63" s="15" t="s">
        <v>107</v>
      </c>
      <c r="F63" s="15" t="s">
        <v>174</v>
      </c>
      <c r="G63" s="15" t="s">
        <v>231</v>
      </c>
      <c r="H63" s="15" t="s">
        <v>232</v>
      </c>
      <c r="I63" s="15">
        <v>10000</v>
      </c>
      <c r="N63" s="15">
        <v>10000</v>
      </c>
      <c r="X63" s="51"/>
      <c r="Y63" s="51"/>
      <c r="Z63" s="51"/>
      <c r="AA63" s="51"/>
      <c r="AF63"/>
      <c r="AG63"/>
      <c r="AH63"/>
      <c r="AI63"/>
      <c r="AJ63"/>
      <c r="AK63"/>
      <c r="AL63"/>
      <c r="AM63"/>
    </row>
    <row r="64" spans="1:39">
      <c r="A64" s="15" t="s">
        <v>188</v>
      </c>
      <c r="B64" s="15" t="s">
        <v>86</v>
      </c>
      <c r="C64" s="15" t="s">
        <v>240</v>
      </c>
      <c r="D64" s="15" t="s">
        <v>107</v>
      </c>
      <c r="E64" s="15" t="s">
        <v>88</v>
      </c>
      <c r="F64" s="15" t="s">
        <v>241</v>
      </c>
      <c r="G64" s="15" t="s">
        <v>242</v>
      </c>
      <c r="H64" s="15" t="s">
        <v>243</v>
      </c>
      <c r="I64" s="15">
        <v>-103000</v>
      </c>
      <c r="O64" s="15">
        <v>-103000</v>
      </c>
      <c r="X64" s="51"/>
      <c r="Y64" s="51"/>
      <c r="Z64" s="51"/>
      <c r="AA64" s="51"/>
      <c r="AF64"/>
      <c r="AG64"/>
      <c r="AH64"/>
      <c r="AI64"/>
      <c r="AJ64"/>
      <c r="AK64"/>
      <c r="AL64"/>
      <c r="AM64"/>
    </row>
    <row r="65" spans="1:39">
      <c r="A65" s="15" t="s">
        <v>188</v>
      </c>
      <c r="B65" s="15" t="s">
        <v>86</v>
      </c>
      <c r="C65" s="15" t="s">
        <v>244</v>
      </c>
      <c r="D65" s="15" t="s">
        <v>107</v>
      </c>
      <c r="E65" s="15" t="s">
        <v>88</v>
      </c>
      <c r="F65" s="15" t="s">
        <v>241</v>
      </c>
      <c r="G65" s="15" t="s">
        <v>245</v>
      </c>
      <c r="H65" s="15" t="s">
        <v>246</v>
      </c>
      <c r="I65" s="15">
        <v>-26851</v>
      </c>
      <c r="W65" s="15">
        <v>-26851</v>
      </c>
      <c r="X65" s="51"/>
      <c r="Y65" s="51"/>
      <c r="Z65" s="51"/>
      <c r="AA65" s="51"/>
      <c r="AF65"/>
      <c r="AG65"/>
      <c r="AH65"/>
      <c r="AI65"/>
      <c r="AJ65"/>
      <c r="AK65"/>
      <c r="AL65"/>
      <c r="AM65"/>
    </row>
    <row r="66" spans="1:39">
      <c r="A66" s="15" t="s">
        <v>188</v>
      </c>
      <c r="B66" s="15" t="s">
        <v>86</v>
      </c>
      <c r="C66" s="15" t="s">
        <v>247</v>
      </c>
      <c r="D66" s="15" t="s">
        <v>107</v>
      </c>
      <c r="E66" s="15" t="s">
        <v>88</v>
      </c>
      <c r="F66" s="15" t="s">
        <v>241</v>
      </c>
      <c r="G66" s="15" t="s">
        <v>248</v>
      </c>
      <c r="H66" s="15" t="s">
        <v>135</v>
      </c>
      <c r="I66" s="15">
        <v>-32646</v>
      </c>
      <c r="K66" s="15">
        <v>-32646</v>
      </c>
      <c r="X66" s="51"/>
      <c r="Y66" s="51"/>
      <c r="Z66" s="51"/>
      <c r="AA66" s="51"/>
      <c r="AF66"/>
      <c r="AG66"/>
      <c r="AH66"/>
      <c r="AI66"/>
      <c r="AJ66"/>
      <c r="AK66"/>
      <c r="AL66"/>
      <c r="AM66"/>
    </row>
    <row r="67" spans="1:39">
      <c r="A67" s="15" t="s">
        <v>188</v>
      </c>
      <c r="B67" s="15" t="s">
        <v>87</v>
      </c>
      <c r="C67" s="15" t="s">
        <v>233</v>
      </c>
      <c r="D67" s="15" t="s">
        <v>88</v>
      </c>
      <c r="E67" s="15" t="s">
        <v>107</v>
      </c>
      <c r="F67" s="15" t="s">
        <v>188</v>
      </c>
      <c r="G67" s="15" t="s">
        <v>234</v>
      </c>
      <c r="H67" s="15" t="s">
        <v>235</v>
      </c>
      <c r="I67" s="15">
        <v>94300.59</v>
      </c>
      <c r="K67" s="15">
        <v>92591.59</v>
      </c>
      <c r="O67" s="15">
        <v>1709</v>
      </c>
      <c r="X67" s="51"/>
      <c r="Y67" s="51"/>
      <c r="Z67" s="51"/>
      <c r="AA67" s="51"/>
      <c r="AF67"/>
      <c r="AG67"/>
      <c r="AH67"/>
      <c r="AI67"/>
      <c r="AJ67"/>
      <c r="AK67"/>
      <c r="AL67"/>
      <c r="AM67"/>
    </row>
    <row r="68" spans="1:39">
      <c r="A68" s="15" t="s">
        <v>188</v>
      </c>
      <c r="B68" s="15" t="s">
        <v>123</v>
      </c>
      <c r="C68" s="15" t="s">
        <v>189</v>
      </c>
      <c r="D68" s="15" t="s">
        <v>107</v>
      </c>
      <c r="E68" s="15" t="s">
        <v>88</v>
      </c>
      <c r="F68" s="15" t="s">
        <v>188</v>
      </c>
      <c r="G68" s="15" t="s">
        <v>164</v>
      </c>
      <c r="H68" s="15" t="s">
        <v>190</v>
      </c>
      <c r="I68" s="15">
        <v>-206000</v>
      </c>
      <c r="P68" s="15">
        <v>-206000</v>
      </c>
      <c r="X68" s="51"/>
      <c r="Y68" s="51"/>
      <c r="Z68" s="51"/>
      <c r="AA68" s="51"/>
      <c r="AF68"/>
      <c r="AG68"/>
      <c r="AH68"/>
      <c r="AI68"/>
      <c r="AJ68"/>
      <c r="AK68"/>
      <c r="AL68"/>
      <c r="AM68"/>
    </row>
    <row r="69" spans="1:39">
      <c r="A69" s="15" t="s">
        <v>188</v>
      </c>
      <c r="B69" s="15" t="s">
        <v>170</v>
      </c>
      <c r="C69" s="15" t="s">
        <v>258</v>
      </c>
      <c r="D69" s="15" t="s">
        <v>88</v>
      </c>
      <c r="E69" s="15" t="s">
        <v>107</v>
      </c>
      <c r="F69" s="15" t="s">
        <v>188</v>
      </c>
      <c r="G69" s="15" t="s">
        <v>259</v>
      </c>
      <c r="H69" s="15" t="s">
        <v>260</v>
      </c>
      <c r="I69" s="15">
        <v>83919.06</v>
      </c>
      <c r="R69" s="15">
        <v>83919.06</v>
      </c>
      <c r="X69" s="51"/>
      <c r="Y69" s="51"/>
      <c r="Z69" s="51"/>
      <c r="AA69" s="51"/>
      <c r="AF69"/>
      <c r="AG69"/>
      <c r="AH69"/>
      <c r="AI69"/>
      <c r="AJ69"/>
      <c r="AK69"/>
      <c r="AL69"/>
      <c r="AM69"/>
    </row>
    <row r="70" spans="1:39">
      <c r="A70" s="15" t="s">
        <v>188</v>
      </c>
      <c r="B70" s="15" t="s">
        <v>98</v>
      </c>
      <c r="C70" s="15" t="s">
        <v>261</v>
      </c>
      <c r="D70" s="15" t="s">
        <v>107</v>
      </c>
      <c r="E70" s="15" t="s">
        <v>88</v>
      </c>
      <c r="F70" s="15" t="s">
        <v>188</v>
      </c>
      <c r="G70" s="15" t="s">
        <v>259</v>
      </c>
      <c r="H70" s="15" t="s">
        <v>262</v>
      </c>
      <c r="I70" s="15">
        <v>-83919.06</v>
      </c>
      <c r="K70" s="15">
        <v>-83919.06</v>
      </c>
      <c r="X70" s="51"/>
      <c r="Y70" s="51"/>
      <c r="Z70" s="51"/>
      <c r="AA70" s="51"/>
      <c r="AF70"/>
      <c r="AG70"/>
      <c r="AH70"/>
      <c r="AI70"/>
      <c r="AJ70"/>
      <c r="AK70"/>
      <c r="AL70"/>
      <c r="AM70"/>
    </row>
    <row r="71" spans="1:39">
      <c r="A71" s="15" t="s">
        <v>241</v>
      </c>
      <c r="B71" s="15" t="s">
        <v>87</v>
      </c>
      <c r="C71" s="15" t="s">
        <v>240</v>
      </c>
      <c r="D71" s="15" t="s">
        <v>88</v>
      </c>
      <c r="E71" s="15" t="s">
        <v>107</v>
      </c>
      <c r="F71" s="15" t="s">
        <v>241</v>
      </c>
      <c r="G71" s="15" t="s">
        <v>242</v>
      </c>
      <c r="H71" s="15" t="s">
        <v>249</v>
      </c>
      <c r="I71" s="15">
        <v>103000</v>
      </c>
      <c r="O71" s="15">
        <v>103000</v>
      </c>
      <c r="X71" s="51"/>
      <c r="Y71" s="51"/>
      <c r="Z71" s="51"/>
      <c r="AA71" s="51"/>
      <c r="AF71"/>
      <c r="AG71"/>
      <c r="AH71"/>
      <c r="AI71"/>
      <c r="AJ71"/>
      <c r="AK71"/>
      <c r="AL71"/>
      <c r="AM71"/>
    </row>
    <row r="72" spans="1:39">
      <c r="A72" s="15" t="s">
        <v>241</v>
      </c>
      <c r="B72" s="15" t="s">
        <v>87</v>
      </c>
      <c r="C72" s="15" t="s">
        <v>244</v>
      </c>
      <c r="D72" s="15" t="s">
        <v>88</v>
      </c>
      <c r="E72" s="15" t="s">
        <v>107</v>
      </c>
      <c r="F72" s="15" t="s">
        <v>241</v>
      </c>
      <c r="G72" s="15" t="s">
        <v>245</v>
      </c>
      <c r="H72" s="15" t="s">
        <v>246</v>
      </c>
      <c r="I72" s="15">
        <v>26851</v>
      </c>
      <c r="W72" s="15">
        <v>26851</v>
      </c>
      <c r="X72" s="51"/>
      <c r="Y72" s="51"/>
      <c r="Z72" s="51"/>
      <c r="AA72" s="51"/>
      <c r="AF72"/>
      <c r="AG72"/>
      <c r="AH72"/>
      <c r="AI72"/>
      <c r="AJ72"/>
      <c r="AK72"/>
      <c r="AL72"/>
      <c r="AM72"/>
    </row>
    <row r="73" spans="1:39">
      <c r="A73" s="15" t="s">
        <v>241</v>
      </c>
      <c r="B73" s="15" t="s">
        <v>87</v>
      </c>
      <c r="C73" s="15" t="s">
        <v>247</v>
      </c>
      <c r="D73" s="15" t="s">
        <v>88</v>
      </c>
      <c r="E73" s="15" t="s">
        <v>107</v>
      </c>
      <c r="F73" s="15" t="s">
        <v>241</v>
      </c>
      <c r="G73" s="15" t="s">
        <v>248</v>
      </c>
      <c r="H73" s="15" t="s">
        <v>135</v>
      </c>
      <c r="I73" s="15">
        <v>32646</v>
      </c>
      <c r="K73" s="15">
        <v>32646</v>
      </c>
      <c r="X73" s="51"/>
      <c r="Y73" s="51"/>
      <c r="Z73" s="51"/>
      <c r="AA73" s="51"/>
      <c r="AF73"/>
      <c r="AG73"/>
      <c r="AH73"/>
      <c r="AI73"/>
      <c r="AJ73"/>
      <c r="AK73"/>
      <c r="AL73"/>
      <c r="AM73"/>
    </row>
    <row r="74" spans="1:39">
      <c r="A74" s="15" t="s">
        <v>241</v>
      </c>
      <c r="B74" s="15" t="s">
        <v>170</v>
      </c>
      <c r="C74" s="15" t="s">
        <v>255</v>
      </c>
      <c r="D74" s="15" t="s">
        <v>120</v>
      </c>
      <c r="E74" s="15" t="s">
        <v>107</v>
      </c>
      <c r="F74" s="15" t="s">
        <v>241</v>
      </c>
      <c r="G74" s="15" t="s">
        <v>256</v>
      </c>
      <c r="H74" s="15" t="s">
        <v>257</v>
      </c>
      <c r="I74" s="15">
        <v>54480</v>
      </c>
      <c r="O74" s="15">
        <v>54480</v>
      </c>
      <c r="X74" s="51"/>
      <c r="Y74" s="51"/>
      <c r="Z74" s="51"/>
      <c r="AA74" s="51"/>
      <c r="AF74"/>
      <c r="AG74"/>
      <c r="AH74"/>
      <c r="AI74"/>
      <c r="AJ74"/>
      <c r="AK74"/>
      <c r="AL74"/>
      <c r="AM74"/>
    </row>
    <row r="75" spans="1:39" ht="15.75">
      <c r="A75" s="209" t="s">
        <v>76</v>
      </c>
      <c r="B75" s="209"/>
      <c r="C75" s="209"/>
      <c r="D75" s="209"/>
      <c r="E75" s="209"/>
      <c r="F75" s="209"/>
      <c r="G75" s="209"/>
      <c r="AF75" s="51"/>
      <c r="AG75" s="51"/>
      <c r="AH75" s="51"/>
      <c r="AI75" s="51"/>
    </row>
    <row r="77" spans="1:39">
      <c r="A77" s="51" t="s">
        <v>41</v>
      </c>
      <c r="B77" s="51" t="s">
        <v>42</v>
      </c>
      <c r="C77" s="51" t="s">
        <v>13</v>
      </c>
      <c r="D77" s="51" t="s">
        <v>82</v>
      </c>
      <c r="E77" s="51" t="s">
        <v>83</v>
      </c>
      <c r="F77" s="51" t="s">
        <v>43</v>
      </c>
      <c r="G77" s="51" t="s">
        <v>84</v>
      </c>
      <c r="H77" s="51" t="s">
        <v>85</v>
      </c>
      <c r="I77" s="51" t="s">
        <v>10</v>
      </c>
      <c r="J77" s="51" t="s">
        <v>213</v>
      </c>
      <c r="K77" s="51" t="s">
        <v>4</v>
      </c>
      <c r="L77" s="51" t="s">
        <v>158</v>
      </c>
      <c r="M77" s="51" t="s">
        <v>214</v>
      </c>
      <c r="N77" s="51" t="s">
        <v>5</v>
      </c>
      <c r="O77" s="51" t="s">
        <v>97</v>
      </c>
      <c r="P77" s="51" t="s">
        <v>99</v>
      </c>
      <c r="Q77" s="51" t="s">
        <v>210</v>
      </c>
      <c r="R77" s="51" t="s">
        <v>211</v>
      </c>
      <c r="S77" s="51" t="s">
        <v>215</v>
      </c>
      <c r="T77" s="51" t="s">
        <v>159</v>
      </c>
      <c r="U77" s="51" t="s">
        <v>160</v>
      </c>
      <c r="V77" s="51" t="s">
        <v>216</v>
      </c>
      <c r="W77" s="51" t="s">
        <v>212</v>
      </c>
      <c r="X77" s="51"/>
      <c r="Y77" s="51"/>
      <c r="AH77"/>
      <c r="AI77"/>
      <c r="AJ77"/>
      <c r="AK77"/>
      <c r="AL77"/>
      <c r="AM77"/>
    </row>
    <row r="78" spans="1:39">
      <c r="A78" s="21" t="s">
        <v>105</v>
      </c>
      <c r="B78" s="21" t="s">
        <v>86</v>
      </c>
      <c r="C78" s="21" t="s">
        <v>106</v>
      </c>
      <c r="D78" s="21" t="s">
        <v>107</v>
      </c>
      <c r="E78" s="21" t="s">
        <v>88</v>
      </c>
      <c r="F78" s="21" t="s">
        <v>108</v>
      </c>
      <c r="G78" s="21" t="s">
        <v>109</v>
      </c>
      <c r="H78" s="21" t="s">
        <v>110</v>
      </c>
      <c r="I78" s="21">
        <v>-600000</v>
      </c>
      <c r="J78" s="21"/>
      <c r="K78" s="21">
        <v>-600000</v>
      </c>
      <c r="L78" s="21"/>
      <c r="M78" s="21"/>
      <c r="N78" s="21"/>
      <c r="O78" s="21"/>
      <c r="P78" s="21"/>
      <c r="Q78" s="21"/>
      <c r="R78" s="21"/>
      <c r="S78" s="51"/>
      <c r="T78" s="51"/>
      <c r="U78" s="51"/>
      <c r="V78" s="51"/>
      <c r="W78" s="51"/>
      <c r="X78" s="84"/>
      <c r="Y78" s="51"/>
      <c r="AH78"/>
      <c r="AI78"/>
      <c r="AJ78"/>
      <c r="AK78"/>
      <c r="AL78"/>
      <c r="AM78"/>
    </row>
    <row r="79" spans="1:39">
      <c r="A79" s="51" t="s">
        <v>105</v>
      </c>
      <c r="B79" s="51" t="s">
        <v>98</v>
      </c>
      <c r="C79" s="51" t="s">
        <v>111</v>
      </c>
      <c r="D79" s="51" t="s">
        <v>107</v>
      </c>
      <c r="E79" s="51" t="s">
        <v>88</v>
      </c>
      <c r="F79" s="51" t="s">
        <v>105</v>
      </c>
      <c r="G79" s="51" t="s">
        <v>112</v>
      </c>
      <c r="H79" s="51" t="s">
        <v>113</v>
      </c>
      <c r="I79" s="51">
        <v>-633000</v>
      </c>
      <c r="J79" s="51"/>
      <c r="K79" s="51"/>
      <c r="L79" s="51"/>
      <c r="M79" s="51"/>
      <c r="N79" s="51"/>
      <c r="O79" s="51"/>
      <c r="P79" s="51"/>
      <c r="Q79" s="51"/>
      <c r="R79" s="51"/>
      <c r="S79" s="51">
        <v>-633000</v>
      </c>
      <c r="T79" s="51"/>
      <c r="U79" s="51"/>
      <c r="V79" s="51"/>
      <c r="W79" s="51"/>
      <c r="X79" s="84"/>
      <c r="Y79" s="51"/>
      <c r="AH79"/>
      <c r="AI79"/>
      <c r="AJ79"/>
      <c r="AK79"/>
      <c r="AL79"/>
      <c r="AM79"/>
    </row>
    <row r="80" spans="1:39">
      <c r="A80" s="51" t="s">
        <v>108</v>
      </c>
      <c r="B80" s="51" t="s">
        <v>87</v>
      </c>
      <c r="C80" s="51" t="s">
        <v>106</v>
      </c>
      <c r="D80" s="51" t="s">
        <v>88</v>
      </c>
      <c r="E80" s="51" t="s">
        <v>107</v>
      </c>
      <c r="F80" s="51" t="s">
        <v>108</v>
      </c>
      <c r="G80" s="51" t="s">
        <v>109</v>
      </c>
      <c r="H80" s="51" t="s">
        <v>114</v>
      </c>
      <c r="I80" s="51">
        <v>600000</v>
      </c>
      <c r="J80" s="51"/>
      <c r="K80" s="51">
        <v>600000</v>
      </c>
      <c r="L80" s="51"/>
      <c r="M80" s="51"/>
      <c r="N80" s="51"/>
      <c r="O80" s="51"/>
      <c r="P80" s="51"/>
      <c r="Q80" s="51"/>
      <c r="R80" s="51"/>
      <c r="S80" s="51"/>
      <c r="T80" s="51"/>
      <c r="U80" s="51"/>
      <c r="V80" s="51"/>
      <c r="W80" s="51"/>
      <c r="X80" s="84"/>
      <c r="Y80" s="51"/>
      <c r="AH80"/>
      <c r="AI80"/>
      <c r="AJ80"/>
      <c r="AK80"/>
      <c r="AL80"/>
      <c r="AM80"/>
    </row>
    <row r="81" spans="1:39">
      <c r="A81" s="51" t="s">
        <v>108</v>
      </c>
      <c r="B81" s="51" t="s">
        <v>98</v>
      </c>
      <c r="C81" s="51" t="s">
        <v>115</v>
      </c>
      <c r="D81" s="51" t="s">
        <v>107</v>
      </c>
      <c r="E81" s="51" t="s">
        <v>88</v>
      </c>
      <c r="F81" s="51" t="s">
        <v>108</v>
      </c>
      <c r="G81" s="51" t="s">
        <v>112</v>
      </c>
      <c r="H81" s="51" t="s">
        <v>113</v>
      </c>
      <c r="I81" s="51">
        <v>-633000</v>
      </c>
      <c r="J81" s="51"/>
      <c r="K81" s="51"/>
      <c r="L81" s="51"/>
      <c r="M81" s="51"/>
      <c r="N81" s="51"/>
      <c r="O81" s="51"/>
      <c r="P81" s="51"/>
      <c r="Q81" s="51"/>
      <c r="R81" s="51"/>
      <c r="S81" s="51">
        <v>-633000</v>
      </c>
      <c r="T81" s="51"/>
      <c r="U81" s="51"/>
      <c r="V81" s="51"/>
      <c r="W81" s="51"/>
      <c r="X81" s="84"/>
      <c r="Y81" s="51"/>
      <c r="Z81"/>
      <c r="AA81"/>
      <c r="AB81"/>
      <c r="AC81"/>
      <c r="AD81"/>
      <c r="AE81"/>
      <c r="AF81"/>
      <c r="AG81"/>
      <c r="AH81"/>
      <c r="AI81"/>
      <c r="AJ81"/>
      <c r="AK81"/>
      <c r="AL81"/>
      <c r="AM81"/>
    </row>
    <row r="82" spans="1:39">
      <c r="A82" s="51" t="s">
        <v>89</v>
      </c>
      <c r="B82" s="51" t="s">
        <v>94</v>
      </c>
      <c r="C82" s="51" t="s">
        <v>116</v>
      </c>
      <c r="D82" s="51" t="s">
        <v>107</v>
      </c>
      <c r="E82" s="51" t="s">
        <v>88</v>
      </c>
      <c r="F82" s="51" t="s">
        <v>89</v>
      </c>
      <c r="G82" s="51"/>
      <c r="H82" s="51" t="s">
        <v>117</v>
      </c>
      <c r="I82" s="51">
        <v>-0.92</v>
      </c>
      <c r="J82" s="51"/>
      <c r="K82" s="51">
        <v>0</v>
      </c>
      <c r="L82" s="51">
        <v>0</v>
      </c>
      <c r="M82" s="51"/>
      <c r="N82" s="51">
        <v>0</v>
      </c>
      <c r="O82" s="51"/>
      <c r="P82" s="51"/>
      <c r="Q82" s="51"/>
      <c r="R82" s="51"/>
      <c r="S82" s="51">
        <v>0</v>
      </c>
      <c r="T82" s="51"/>
      <c r="U82" s="51"/>
      <c r="V82" s="51"/>
      <c r="W82" s="51"/>
      <c r="X82" s="84"/>
      <c r="Y82" s="51"/>
      <c r="Z82"/>
      <c r="AA82"/>
      <c r="AB82"/>
      <c r="AC82"/>
      <c r="AD82"/>
      <c r="AE82"/>
      <c r="AF82"/>
      <c r="AG82"/>
      <c r="AH82"/>
      <c r="AI82"/>
      <c r="AJ82"/>
      <c r="AK82"/>
      <c r="AL82"/>
      <c r="AM82"/>
    </row>
    <row r="83" spans="1:39">
      <c r="A83" s="51" t="s">
        <v>89</v>
      </c>
      <c r="B83" s="51" t="s">
        <v>118</v>
      </c>
      <c r="C83" s="51" t="s">
        <v>119</v>
      </c>
      <c r="D83" s="51" t="s">
        <v>120</v>
      </c>
      <c r="E83" s="51" t="s">
        <v>107</v>
      </c>
      <c r="F83" s="51" t="s">
        <v>92</v>
      </c>
      <c r="G83" s="51"/>
      <c r="H83" s="51" t="s">
        <v>121</v>
      </c>
      <c r="I83" s="51">
        <v>350000</v>
      </c>
      <c r="J83" s="51"/>
      <c r="K83" s="51">
        <v>350000</v>
      </c>
      <c r="L83" s="51"/>
      <c r="M83" s="51"/>
      <c r="N83" s="51"/>
      <c r="O83" s="51"/>
      <c r="P83" s="51"/>
      <c r="Q83" s="51"/>
      <c r="R83" s="51"/>
      <c r="S83" s="51"/>
      <c r="T83" s="51"/>
      <c r="U83" s="51"/>
      <c r="V83" s="51"/>
      <c r="W83" s="51"/>
      <c r="X83" s="84"/>
      <c r="Y83" s="51"/>
      <c r="Z83"/>
      <c r="AA83"/>
      <c r="AB83"/>
      <c r="AC83"/>
      <c r="AD83"/>
      <c r="AE83"/>
      <c r="AF83"/>
      <c r="AG83"/>
      <c r="AH83"/>
      <c r="AI83"/>
      <c r="AJ83"/>
      <c r="AK83"/>
      <c r="AL83"/>
      <c r="AM83"/>
    </row>
    <row r="84" spans="1:39">
      <c r="A84" s="60" t="s">
        <v>89</v>
      </c>
      <c r="B84" s="60" t="s">
        <v>98</v>
      </c>
      <c r="C84" s="60" t="s">
        <v>122</v>
      </c>
      <c r="D84" s="60" t="s">
        <v>107</v>
      </c>
      <c r="E84" s="60" t="s">
        <v>88</v>
      </c>
      <c r="F84" s="60" t="s">
        <v>89</v>
      </c>
      <c r="G84" s="60" t="s">
        <v>112</v>
      </c>
      <c r="H84" s="60" t="s">
        <v>113</v>
      </c>
      <c r="I84" s="60">
        <v>-633000</v>
      </c>
      <c r="J84" s="60"/>
      <c r="K84" s="60"/>
      <c r="L84" s="60"/>
      <c r="M84" s="60"/>
      <c r="N84" s="60"/>
      <c r="O84" s="60"/>
      <c r="P84" s="60"/>
      <c r="Q84" s="60"/>
      <c r="R84" s="60"/>
      <c r="S84" s="60">
        <v>-633000</v>
      </c>
      <c r="T84" s="60"/>
      <c r="U84" s="60"/>
      <c r="V84" s="60"/>
      <c r="W84" s="60"/>
      <c r="X84" s="85"/>
      <c r="Y84" s="60"/>
      <c r="Z84"/>
      <c r="AA84"/>
      <c r="AB84"/>
      <c r="AC84"/>
      <c r="AD84"/>
      <c r="AE84"/>
      <c r="AF84"/>
      <c r="AG84"/>
      <c r="AH84"/>
      <c r="AI84"/>
      <c r="AJ84"/>
      <c r="AK84"/>
      <c r="AL84"/>
      <c r="AM84"/>
    </row>
    <row r="85" spans="1:39">
      <c r="A85" s="70" t="s">
        <v>92</v>
      </c>
      <c r="B85" s="70" t="s">
        <v>123</v>
      </c>
      <c r="C85" s="70" t="s">
        <v>119</v>
      </c>
      <c r="D85" s="70" t="s">
        <v>107</v>
      </c>
      <c r="E85" s="70" t="s">
        <v>120</v>
      </c>
      <c r="F85" s="70" t="s">
        <v>92</v>
      </c>
      <c r="G85" s="70"/>
      <c r="H85" s="70" t="s">
        <v>124</v>
      </c>
      <c r="I85" s="70">
        <v>-350000</v>
      </c>
      <c r="J85" s="70"/>
      <c r="K85" s="70">
        <v>-350000</v>
      </c>
      <c r="L85" s="70"/>
      <c r="M85" s="70"/>
      <c r="N85" s="70"/>
      <c r="O85" s="70"/>
      <c r="P85" s="70"/>
      <c r="Q85" s="70"/>
      <c r="R85" s="70"/>
      <c r="S85" s="70"/>
      <c r="T85" s="70"/>
      <c r="U85" s="70"/>
      <c r="V85" s="70"/>
      <c r="W85" s="70"/>
      <c r="X85" s="85"/>
      <c r="Y85" s="70"/>
      <c r="Z85"/>
      <c r="AA85"/>
      <c r="AB85"/>
      <c r="AC85"/>
      <c r="AD85"/>
      <c r="AE85"/>
      <c r="AF85"/>
      <c r="AG85"/>
      <c r="AH85"/>
      <c r="AI85"/>
      <c r="AJ85"/>
      <c r="AK85"/>
      <c r="AL85"/>
      <c r="AM85"/>
    </row>
    <row r="86" spans="1:39">
      <c r="A86" s="70" t="s">
        <v>92</v>
      </c>
      <c r="B86" s="70" t="s">
        <v>98</v>
      </c>
      <c r="C86" s="70" t="s">
        <v>125</v>
      </c>
      <c r="D86" s="70" t="s">
        <v>107</v>
      </c>
      <c r="E86" s="70" t="s">
        <v>88</v>
      </c>
      <c r="F86" s="70" t="s">
        <v>92</v>
      </c>
      <c r="G86" s="70" t="s">
        <v>112</v>
      </c>
      <c r="H86" s="70" t="s">
        <v>126</v>
      </c>
      <c r="I86" s="70">
        <v>-633000</v>
      </c>
      <c r="J86" s="70"/>
      <c r="K86" s="70"/>
      <c r="L86" s="70"/>
      <c r="M86" s="70"/>
      <c r="N86" s="70"/>
      <c r="O86" s="70"/>
      <c r="P86" s="70"/>
      <c r="Q86" s="70"/>
      <c r="R86" s="70"/>
      <c r="S86" s="70">
        <v>-633000</v>
      </c>
      <c r="T86" s="70"/>
      <c r="U86" s="70"/>
      <c r="V86" s="70"/>
      <c r="W86" s="70"/>
      <c r="X86" s="85"/>
      <c r="Y86" s="70"/>
      <c r="Z86"/>
      <c r="AA86"/>
      <c r="AB86"/>
      <c r="AC86"/>
      <c r="AD86"/>
      <c r="AE86"/>
      <c r="AF86"/>
      <c r="AG86"/>
      <c r="AH86"/>
      <c r="AI86"/>
      <c r="AJ86"/>
      <c r="AK86"/>
      <c r="AL86"/>
      <c r="AM86"/>
    </row>
    <row r="87" spans="1:39">
      <c r="A87" s="75" t="s">
        <v>91</v>
      </c>
      <c r="B87" s="75" t="s">
        <v>118</v>
      </c>
      <c r="C87" s="75" t="s">
        <v>127</v>
      </c>
      <c r="D87" s="75" t="s">
        <v>102</v>
      </c>
      <c r="E87" s="75" t="s">
        <v>107</v>
      </c>
      <c r="F87" s="75" t="s">
        <v>95</v>
      </c>
      <c r="G87" s="75"/>
      <c r="H87" s="75" t="s">
        <v>128</v>
      </c>
      <c r="I87" s="75">
        <v>137000</v>
      </c>
      <c r="J87" s="75"/>
      <c r="K87" s="75">
        <v>137000</v>
      </c>
      <c r="L87" s="75"/>
      <c r="M87" s="75"/>
      <c r="N87" s="75"/>
      <c r="O87" s="75"/>
      <c r="P87" s="75"/>
      <c r="Q87" s="75"/>
      <c r="R87" s="75"/>
      <c r="S87" s="75"/>
      <c r="T87" s="75"/>
      <c r="U87" s="75"/>
      <c r="V87" s="75"/>
      <c r="W87" s="75"/>
      <c r="X87" s="85"/>
      <c r="Y87" s="75"/>
      <c r="Z87"/>
      <c r="AA87"/>
      <c r="AB87"/>
      <c r="AC87"/>
      <c r="AD87"/>
      <c r="AE87"/>
      <c r="AF87"/>
      <c r="AG87"/>
      <c r="AH87"/>
      <c r="AI87"/>
      <c r="AJ87"/>
      <c r="AK87"/>
      <c r="AL87"/>
      <c r="AM87"/>
    </row>
    <row r="88" spans="1:39">
      <c r="A88" s="75" t="s">
        <v>91</v>
      </c>
      <c r="B88" s="75" t="s">
        <v>86</v>
      </c>
      <c r="C88" s="75" t="s">
        <v>129</v>
      </c>
      <c r="D88" s="75" t="s">
        <v>107</v>
      </c>
      <c r="E88" s="75" t="s">
        <v>88</v>
      </c>
      <c r="F88" s="75" t="s">
        <v>95</v>
      </c>
      <c r="G88" s="75" t="s">
        <v>130</v>
      </c>
      <c r="H88" s="75" t="s">
        <v>131</v>
      </c>
      <c r="I88" s="75">
        <v>-70000</v>
      </c>
      <c r="J88" s="75"/>
      <c r="K88" s="75"/>
      <c r="L88" s="75"/>
      <c r="M88" s="75"/>
      <c r="N88" s="75"/>
      <c r="O88" s="75"/>
      <c r="P88" s="75"/>
      <c r="Q88" s="75"/>
      <c r="R88" s="75"/>
      <c r="S88" s="75">
        <v>-70000</v>
      </c>
      <c r="T88" s="75"/>
      <c r="U88" s="75"/>
      <c r="V88" s="75"/>
      <c r="W88" s="75"/>
      <c r="X88" s="85"/>
      <c r="Y88" s="75"/>
      <c r="Z88"/>
      <c r="AA88"/>
      <c r="AB88"/>
      <c r="AC88"/>
      <c r="AD88"/>
      <c r="AE88"/>
      <c r="AF88"/>
      <c r="AG88"/>
      <c r="AH88"/>
      <c r="AI88"/>
      <c r="AJ88"/>
      <c r="AK88"/>
      <c r="AL88"/>
      <c r="AM88"/>
    </row>
    <row r="89" spans="1:39">
      <c r="A89" s="15" t="s">
        <v>91</v>
      </c>
      <c r="B89" s="15" t="s">
        <v>86</v>
      </c>
      <c r="C89" s="15" t="s">
        <v>132</v>
      </c>
      <c r="D89" s="15" t="s">
        <v>107</v>
      </c>
      <c r="E89" s="15" t="s">
        <v>88</v>
      </c>
      <c r="F89" s="15" t="s">
        <v>95</v>
      </c>
      <c r="H89" s="15" t="s">
        <v>133</v>
      </c>
      <c r="I89" s="15">
        <v>-25090.12</v>
      </c>
      <c r="L89" s="15">
        <v>-25090.12</v>
      </c>
      <c r="X89" s="85"/>
      <c r="AD89"/>
      <c r="AE89"/>
      <c r="AF89"/>
      <c r="AG89"/>
      <c r="AH89"/>
      <c r="AI89"/>
      <c r="AJ89"/>
      <c r="AK89"/>
      <c r="AL89"/>
      <c r="AM89"/>
    </row>
    <row r="90" spans="1:39">
      <c r="A90" s="15" t="s">
        <v>91</v>
      </c>
      <c r="B90" s="15" t="s">
        <v>86</v>
      </c>
      <c r="C90" s="15" t="s">
        <v>132</v>
      </c>
      <c r="D90" s="15" t="s">
        <v>107</v>
      </c>
      <c r="E90" s="15" t="s">
        <v>88</v>
      </c>
      <c r="F90" s="15" t="s">
        <v>95</v>
      </c>
      <c r="H90" s="15" t="s">
        <v>131</v>
      </c>
      <c r="I90" s="15">
        <v>-31935.71</v>
      </c>
      <c r="S90" s="15">
        <v>-31935.71</v>
      </c>
      <c r="X90" s="85"/>
      <c r="AD90"/>
      <c r="AE90"/>
      <c r="AF90"/>
      <c r="AG90"/>
      <c r="AH90"/>
      <c r="AI90"/>
      <c r="AJ90"/>
      <c r="AK90"/>
      <c r="AL90"/>
      <c r="AM90"/>
    </row>
    <row r="91" spans="1:39">
      <c r="A91" s="85" t="s">
        <v>91</v>
      </c>
      <c r="B91" s="85" t="s">
        <v>86</v>
      </c>
      <c r="C91" s="85" t="s">
        <v>134</v>
      </c>
      <c r="D91" s="85" t="s">
        <v>107</v>
      </c>
      <c r="E91" s="85" t="s">
        <v>88</v>
      </c>
      <c r="F91" s="85" t="s">
        <v>95</v>
      </c>
      <c r="G91" s="85"/>
      <c r="H91" s="85" t="s">
        <v>135</v>
      </c>
      <c r="I91" s="85">
        <v>-593000</v>
      </c>
      <c r="J91" s="85"/>
      <c r="K91" s="85">
        <v>-593000</v>
      </c>
      <c r="L91" s="85"/>
      <c r="M91" s="85"/>
      <c r="N91" s="85"/>
      <c r="O91" s="85"/>
      <c r="P91" s="85"/>
      <c r="Q91" s="85"/>
      <c r="R91" s="85"/>
      <c r="S91" s="85"/>
      <c r="T91" s="85"/>
      <c r="U91" s="85"/>
      <c r="V91" s="85"/>
      <c r="W91" s="85"/>
      <c r="X91" s="85"/>
      <c r="AD91"/>
      <c r="AE91"/>
      <c r="AF91"/>
      <c r="AG91"/>
      <c r="AH91"/>
      <c r="AI91"/>
      <c r="AJ91"/>
      <c r="AK91"/>
      <c r="AL91"/>
      <c r="AM91"/>
    </row>
    <row r="92" spans="1:39">
      <c r="A92" s="85" t="s">
        <v>91</v>
      </c>
      <c r="B92" s="85" t="s">
        <v>98</v>
      </c>
      <c r="C92" s="85" t="s">
        <v>136</v>
      </c>
      <c r="D92" s="85" t="s">
        <v>107</v>
      </c>
      <c r="E92" s="85" t="s">
        <v>88</v>
      </c>
      <c r="F92" s="85" t="s">
        <v>91</v>
      </c>
      <c r="G92" s="85" t="s">
        <v>137</v>
      </c>
      <c r="H92" s="85" t="s">
        <v>138</v>
      </c>
      <c r="I92" s="85">
        <v>-150000</v>
      </c>
      <c r="J92" s="85"/>
      <c r="K92" s="85"/>
      <c r="L92" s="85"/>
      <c r="M92" s="85"/>
      <c r="N92" s="85"/>
      <c r="O92" s="85"/>
      <c r="P92" s="85"/>
      <c r="Q92" s="85"/>
      <c r="R92" s="85"/>
      <c r="S92" s="85">
        <v>-150000</v>
      </c>
      <c r="T92" s="85"/>
      <c r="U92" s="85"/>
      <c r="V92" s="85"/>
      <c r="W92" s="85"/>
      <c r="X92" s="51"/>
      <c r="Y92" s="51"/>
      <c r="AD92"/>
      <c r="AE92"/>
      <c r="AF92"/>
      <c r="AG92"/>
      <c r="AH92"/>
      <c r="AI92"/>
      <c r="AJ92"/>
      <c r="AK92"/>
      <c r="AL92"/>
      <c r="AM92"/>
    </row>
    <row r="93" spans="1:39">
      <c r="A93" s="85" t="s">
        <v>95</v>
      </c>
      <c r="B93" s="85" t="s">
        <v>118</v>
      </c>
      <c r="C93" s="85" t="s">
        <v>139</v>
      </c>
      <c r="D93" s="85" t="s">
        <v>120</v>
      </c>
      <c r="E93" s="85" t="s">
        <v>107</v>
      </c>
      <c r="F93" s="85" t="s">
        <v>90</v>
      </c>
      <c r="G93" s="85" t="s">
        <v>140</v>
      </c>
      <c r="H93" s="85" t="s">
        <v>141</v>
      </c>
      <c r="I93" s="85">
        <v>650000</v>
      </c>
      <c r="J93" s="85"/>
      <c r="K93" s="85"/>
      <c r="L93" s="85"/>
      <c r="M93" s="85"/>
      <c r="N93" s="85"/>
      <c r="O93" s="85"/>
      <c r="P93" s="85"/>
      <c r="Q93" s="85"/>
      <c r="R93" s="85"/>
      <c r="S93" s="85">
        <v>650000</v>
      </c>
      <c r="T93" s="85"/>
      <c r="U93" s="85"/>
      <c r="V93" s="85"/>
      <c r="W93" s="85"/>
      <c r="AD93"/>
      <c r="AE93"/>
      <c r="AF93"/>
      <c r="AG93"/>
      <c r="AH93"/>
      <c r="AI93"/>
      <c r="AJ93"/>
      <c r="AK93"/>
      <c r="AL93"/>
      <c r="AM93"/>
    </row>
    <row r="94" spans="1:39">
      <c r="A94" s="85" t="s">
        <v>95</v>
      </c>
      <c r="B94" s="85" t="s">
        <v>86</v>
      </c>
      <c r="C94" s="85" t="s">
        <v>142</v>
      </c>
      <c r="D94" s="85" t="s">
        <v>107</v>
      </c>
      <c r="E94" s="85" t="s">
        <v>88</v>
      </c>
      <c r="F94" s="85" t="s">
        <v>96</v>
      </c>
      <c r="G94" s="85" t="s">
        <v>143</v>
      </c>
      <c r="H94" s="85" t="s">
        <v>133</v>
      </c>
      <c r="I94" s="85">
        <v>-25000</v>
      </c>
      <c r="J94" s="85"/>
      <c r="K94" s="85"/>
      <c r="L94" s="85">
        <v>-25000</v>
      </c>
      <c r="M94" s="85"/>
      <c r="N94" s="85"/>
      <c r="O94" s="85"/>
      <c r="P94" s="85"/>
      <c r="Q94" s="85"/>
      <c r="R94" s="85"/>
      <c r="S94" s="85"/>
      <c r="T94" s="85"/>
      <c r="U94" s="85"/>
      <c r="V94" s="85"/>
      <c r="W94" s="85"/>
      <c r="AD94"/>
      <c r="AE94"/>
      <c r="AF94"/>
      <c r="AG94"/>
      <c r="AH94"/>
      <c r="AI94"/>
      <c r="AJ94"/>
      <c r="AK94"/>
      <c r="AL94"/>
      <c r="AM94"/>
    </row>
    <row r="95" spans="1:39">
      <c r="A95" s="85" t="s">
        <v>95</v>
      </c>
      <c r="B95" s="85" t="s">
        <v>86</v>
      </c>
      <c r="C95" s="85" t="s">
        <v>142</v>
      </c>
      <c r="D95" s="85" t="s">
        <v>107</v>
      </c>
      <c r="E95" s="85" t="s">
        <v>88</v>
      </c>
      <c r="F95" s="85" t="s">
        <v>96</v>
      </c>
      <c r="G95" s="85" t="s">
        <v>143</v>
      </c>
      <c r="H95" s="85" t="s">
        <v>144</v>
      </c>
      <c r="I95" s="85">
        <v>-25000</v>
      </c>
      <c r="J95" s="85"/>
      <c r="K95" s="85"/>
      <c r="L95" s="85"/>
      <c r="M95" s="85"/>
      <c r="N95" s="85">
        <v>-25000</v>
      </c>
      <c r="O95" s="85"/>
      <c r="P95" s="85"/>
      <c r="Q95" s="85"/>
      <c r="R95" s="85"/>
      <c r="S95" s="85"/>
      <c r="T95" s="85"/>
      <c r="U95" s="85"/>
      <c r="V95" s="85"/>
      <c r="W95" s="85"/>
      <c r="AD95"/>
      <c r="AE95"/>
      <c r="AF95"/>
      <c r="AG95"/>
      <c r="AH95"/>
      <c r="AI95"/>
      <c r="AJ95"/>
      <c r="AK95"/>
      <c r="AL95"/>
      <c r="AM95"/>
    </row>
    <row r="96" spans="1:39">
      <c r="A96" s="85" t="s">
        <v>95</v>
      </c>
      <c r="B96" s="85" t="s">
        <v>86</v>
      </c>
      <c r="C96" s="85" t="s">
        <v>145</v>
      </c>
      <c r="D96" s="85" t="s">
        <v>107</v>
      </c>
      <c r="E96" s="85" t="s">
        <v>88</v>
      </c>
      <c r="F96" s="85" t="s">
        <v>96</v>
      </c>
      <c r="G96" s="85" t="s">
        <v>146</v>
      </c>
      <c r="H96" s="85" t="s">
        <v>131</v>
      </c>
      <c r="I96" s="85">
        <v>-34000</v>
      </c>
      <c r="J96" s="85"/>
      <c r="K96" s="85"/>
      <c r="L96" s="85"/>
      <c r="M96" s="85"/>
      <c r="N96" s="85"/>
      <c r="O96" s="85"/>
      <c r="P96" s="85"/>
      <c r="Q96" s="85"/>
      <c r="R96" s="85"/>
      <c r="S96" s="85">
        <v>-34000</v>
      </c>
      <c r="T96" s="85"/>
      <c r="U96" s="85"/>
      <c r="V96" s="85"/>
      <c r="W96" s="85"/>
      <c r="AD96"/>
      <c r="AE96"/>
      <c r="AF96"/>
      <c r="AG96"/>
      <c r="AH96"/>
      <c r="AI96"/>
      <c r="AJ96"/>
      <c r="AK96"/>
      <c r="AL96"/>
      <c r="AM96"/>
    </row>
    <row r="97" spans="1:39">
      <c r="A97" s="85" t="s">
        <v>95</v>
      </c>
      <c r="B97" s="85" t="s">
        <v>86</v>
      </c>
      <c r="C97" s="85" t="s">
        <v>145</v>
      </c>
      <c r="D97" s="85" t="s">
        <v>107</v>
      </c>
      <c r="E97" s="85" t="s">
        <v>88</v>
      </c>
      <c r="F97" s="85" t="s">
        <v>96</v>
      </c>
      <c r="G97" s="85" t="s">
        <v>147</v>
      </c>
      <c r="H97" s="85" t="s">
        <v>131</v>
      </c>
      <c r="I97" s="85">
        <v>-274788.05</v>
      </c>
      <c r="J97" s="85"/>
      <c r="K97" s="85">
        <v>-274788.05</v>
      </c>
      <c r="L97" s="85"/>
      <c r="M97" s="85"/>
      <c r="N97" s="85"/>
      <c r="O97" s="85"/>
      <c r="P97" s="85"/>
      <c r="Q97" s="85"/>
      <c r="R97" s="85"/>
      <c r="S97" s="85"/>
      <c r="T97" s="85"/>
      <c r="U97" s="85"/>
      <c r="V97" s="85"/>
      <c r="W97" s="85"/>
      <c r="AD97"/>
      <c r="AE97"/>
      <c r="AF97"/>
      <c r="AG97"/>
      <c r="AH97"/>
      <c r="AI97"/>
      <c r="AJ97"/>
      <c r="AK97"/>
      <c r="AL97"/>
      <c r="AM97"/>
    </row>
    <row r="98" spans="1:39">
      <c r="A98" s="85" t="s">
        <v>95</v>
      </c>
      <c r="B98" s="85" t="s">
        <v>86</v>
      </c>
      <c r="C98" s="85" t="s">
        <v>148</v>
      </c>
      <c r="D98" s="85" t="s">
        <v>107</v>
      </c>
      <c r="E98" s="85" t="s">
        <v>88</v>
      </c>
      <c r="F98" s="85" t="s">
        <v>96</v>
      </c>
      <c r="G98" s="85" t="s">
        <v>149</v>
      </c>
      <c r="H98" s="85" t="s">
        <v>131</v>
      </c>
      <c r="I98" s="85">
        <v>-570835.57999999996</v>
      </c>
      <c r="J98" s="85"/>
      <c r="K98" s="85"/>
      <c r="L98" s="85"/>
      <c r="M98" s="85"/>
      <c r="N98" s="85"/>
      <c r="O98" s="85"/>
      <c r="P98" s="85"/>
      <c r="Q98" s="85"/>
      <c r="R98" s="85"/>
      <c r="S98" s="85">
        <v>-570835.57999999996</v>
      </c>
      <c r="T98" s="85"/>
      <c r="U98" s="85"/>
      <c r="V98" s="85"/>
      <c r="W98" s="85"/>
      <c r="AD98"/>
      <c r="AE98"/>
      <c r="AF98"/>
      <c r="AG98"/>
      <c r="AH98"/>
      <c r="AI98"/>
      <c r="AJ98"/>
      <c r="AK98"/>
      <c r="AL98"/>
      <c r="AM98"/>
    </row>
    <row r="99" spans="1:39">
      <c r="A99" s="85" t="s">
        <v>95</v>
      </c>
      <c r="B99" s="85" t="s">
        <v>87</v>
      </c>
      <c r="C99" s="85" t="s">
        <v>129</v>
      </c>
      <c r="D99" s="85" t="s">
        <v>88</v>
      </c>
      <c r="E99" s="85" t="s">
        <v>107</v>
      </c>
      <c r="F99" s="85" t="s">
        <v>95</v>
      </c>
      <c r="G99" s="85" t="s">
        <v>130</v>
      </c>
      <c r="H99" s="85" t="s">
        <v>131</v>
      </c>
      <c r="I99" s="85">
        <v>70000</v>
      </c>
      <c r="J99" s="85"/>
      <c r="K99" s="85"/>
      <c r="L99" s="85"/>
      <c r="M99" s="85"/>
      <c r="N99" s="85"/>
      <c r="O99" s="85"/>
      <c r="P99" s="85"/>
      <c r="Q99" s="85"/>
      <c r="R99" s="85"/>
      <c r="S99" s="85">
        <v>70000</v>
      </c>
      <c r="T99" s="85"/>
      <c r="U99" s="85"/>
      <c r="V99" s="85"/>
      <c r="W99" s="85"/>
      <c r="AD99"/>
      <c r="AE99"/>
      <c r="AF99"/>
      <c r="AG99"/>
      <c r="AH99"/>
      <c r="AI99"/>
      <c r="AJ99"/>
      <c r="AK99"/>
      <c r="AL99"/>
      <c r="AM99"/>
    </row>
    <row r="100" spans="1:39">
      <c r="A100" s="85" t="s">
        <v>95</v>
      </c>
      <c r="B100" s="85" t="s">
        <v>87</v>
      </c>
      <c r="C100" s="85" t="s">
        <v>132</v>
      </c>
      <c r="D100" s="85" t="s">
        <v>88</v>
      </c>
      <c r="E100" s="85" t="s">
        <v>107</v>
      </c>
      <c r="F100" s="85" t="s">
        <v>95</v>
      </c>
      <c r="G100" s="85"/>
      <c r="H100" s="85" t="s">
        <v>133</v>
      </c>
      <c r="I100" s="85">
        <v>25090.12</v>
      </c>
      <c r="J100" s="85"/>
      <c r="K100" s="85"/>
      <c r="L100" s="85">
        <v>25090.12</v>
      </c>
      <c r="M100" s="85"/>
      <c r="N100" s="85"/>
      <c r="O100" s="85"/>
      <c r="P100" s="85"/>
      <c r="Q100" s="85"/>
      <c r="R100" s="85"/>
      <c r="S100" s="85"/>
      <c r="T100" s="85"/>
      <c r="U100" s="85"/>
      <c r="V100" s="85"/>
      <c r="W100" s="85"/>
      <c r="AD100"/>
      <c r="AE100"/>
      <c r="AF100"/>
      <c r="AG100"/>
      <c r="AH100"/>
      <c r="AI100"/>
      <c r="AJ100"/>
      <c r="AK100"/>
      <c r="AL100"/>
      <c r="AM100"/>
    </row>
    <row r="101" spans="1:39">
      <c r="A101" s="85" t="s">
        <v>95</v>
      </c>
      <c r="B101" s="85" t="s">
        <v>87</v>
      </c>
      <c r="C101" s="85" t="s">
        <v>132</v>
      </c>
      <c r="D101" s="85" t="s">
        <v>88</v>
      </c>
      <c r="E101" s="85" t="s">
        <v>107</v>
      </c>
      <c r="F101" s="85" t="s">
        <v>95</v>
      </c>
      <c r="G101" s="85"/>
      <c r="H101" s="85" t="s">
        <v>131</v>
      </c>
      <c r="I101" s="85">
        <v>31935.71</v>
      </c>
      <c r="J101" s="85"/>
      <c r="K101" s="85"/>
      <c r="L101" s="85"/>
      <c r="M101" s="85"/>
      <c r="N101" s="85"/>
      <c r="O101" s="85"/>
      <c r="P101" s="85"/>
      <c r="Q101" s="85"/>
      <c r="R101" s="85"/>
      <c r="S101" s="85">
        <v>31935.71</v>
      </c>
      <c r="T101" s="85"/>
      <c r="U101" s="85"/>
      <c r="V101" s="85"/>
      <c r="W101" s="85"/>
      <c r="AH101"/>
      <c r="AI101"/>
      <c r="AJ101"/>
      <c r="AK101"/>
      <c r="AL101"/>
      <c r="AM101"/>
    </row>
    <row r="102" spans="1:39">
      <c r="A102" s="15" t="s">
        <v>95</v>
      </c>
      <c r="B102" s="15" t="s">
        <v>87</v>
      </c>
      <c r="C102" s="15" t="s">
        <v>134</v>
      </c>
      <c r="D102" s="15" t="s">
        <v>88</v>
      </c>
      <c r="E102" s="15" t="s">
        <v>107</v>
      </c>
      <c r="F102" s="15" t="s">
        <v>95</v>
      </c>
      <c r="H102" s="15" t="s">
        <v>135</v>
      </c>
      <c r="I102" s="15">
        <v>593000</v>
      </c>
      <c r="K102" s="15">
        <v>593000</v>
      </c>
      <c r="AH102"/>
      <c r="AI102"/>
      <c r="AJ102"/>
      <c r="AK102"/>
      <c r="AL102"/>
      <c r="AM102"/>
    </row>
    <row r="103" spans="1:39">
      <c r="A103" s="15" t="s">
        <v>95</v>
      </c>
      <c r="B103" s="15" t="s">
        <v>123</v>
      </c>
      <c r="C103" s="15" t="s">
        <v>127</v>
      </c>
      <c r="D103" s="15" t="s">
        <v>107</v>
      </c>
      <c r="E103" s="15" t="s">
        <v>102</v>
      </c>
      <c r="F103" s="15" t="s">
        <v>95</v>
      </c>
      <c r="H103" s="15" t="s">
        <v>128</v>
      </c>
      <c r="I103" s="15">
        <v>-137000</v>
      </c>
      <c r="K103" s="15">
        <v>-137000</v>
      </c>
      <c r="AH103"/>
      <c r="AI103"/>
      <c r="AJ103"/>
      <c r="AK103"/>
      <c r="AL103"/>
      <c r="AM103"/>
    </row>
    <row r="104" spans="1:39">
      <c r="A104" s="15" t="s">
        <v>95</v>
      </c>
      <c r="B104" s="15" t="s">
        <v>98</v>
      </c>
      <c r="C104" s="15" t="s">
        <v>150</v>
      </c>
      <c r="D104" s="15" t="s">
        <v>107</v>
      </c>
      <c r="E104" s="15" t="s">
        <v>88</v>
      </c>
      <c r="F104" s="15" t="s">
        <v>95</v>
      </c>
      <c r="G104" s="15" t="s">
        <v>151</v>
      </c>
      <c r="H104" s="15" t="s">
        <v>152</v>
      </c>
      <c r="I104" s="15">
        <v>-230000</v>
      </c>
      <c r="K104" s="15">
        <v>-230000</v>
      </c>
      <c r="AH104"/>
      <c r="AI104"/>
      <c r="AJ104"/>
      <c r="AK104"/>
      <c r="AL104"/>
      <c r="AM104"/>
    </row>
    <row r="105" spans="1:39">
      <c r="A105" s="15" t="s">
        <v>95</v>
      </c>
      <c r="B105" s="15" t="s">
        <v>98</v>
      </c>
      <c r="C105" s="15" t="s">
        <v>153</v>
      </c>
      <c r="D105" s="15" t="s">
        <v>107</v>
      </c>
      <c r="E105" s="15" t="s">
        <v>88</v>
      </c>
      <c r="F105" s="15" t="s">
        <v>95</v>
      </c>
      <c r="G105" s="15" t="s">
        <v>149</v>
      </c>
      <c r="H105" s="15" t="s">
        <v>138</v>
      </c>
      <c r="I105" s="15">
        <v>-50000</v>
      </c>
      <c r="S105" s="15">
        <v>-50000</v>
      </c>
      <c r="AH105"/>
      <c r="AI105"/>
      <c r="AJ105"/>
      <c r="AK105"/>
      <c r="AL105"/>
      <c r="AM105"/>
    </row>
    <row r="106" spans="1:39">
      <c r="A106" s="15" t="s">
        <v>95</v>
      </c>
      <c r="B106" s="15" t="s">
        <v>98</v>
      </c>
      <c r="C106" s="15" t="s">
        <v>154</v>
      </c>
      <c r="D106" s="15" t="s">
        <v>107</v>
      </c>
      <c r="E106" s="15" t="s">
        <v>120</v>
      </c>
      <c r="F106" s="15" t="s">
        <v>95</v>
      </c>
      <c r="G106" s="15" t="s">
        <v>103</v>
      </c>
      <c r="H106" s="15" t="s">
        <v>155</v>
      </c>
      <c r="I106" s="15">
        <v>-45000</v>
      </c>
      <c r="K106" s="15">
        <v>-45000</v>
      </c>
      <c r="AH106"/>
      <c r="AI106"/>
      <c r="AJ106"/>
      <c r="AK106"/>
      <c r="AL106"/>
      <c r="AM106"/>
    </row>
    <row r="107" spans="1:39">
      <c r="A107" s="15" t="s">
        <v>96</v>
      </c>
      <c r="B107" s="15" t="s">
        <v>87</v>
      </c>
      <c r="C107" s="15" t="s">
        <v>142</v>
      </c>
      <c r="D107" s="15" t="s">
        <v>88</v>
      </c>
      <c r="E107" s="15" t="s">
        <v>107</v>
      </c>
      <c r="F107" s="15" t="s">
        <v>96</v>
      </c>
      <c r="G107" s="15" t="s">
        <v>143</v>
      </c>
      <c r="H107" s="15" t="s">
        <v>133</v>
      </c>
      <c r="I107" s="15">
        <v>25000</v>
      </c>
      <c r="L107" s="15">
        <v>25000</v>
      </c>
      <c r="AH107"/>
      <c r="AI107"/>
      <c r="AJ107"/>
      <c r="AK107"/>
      <c r="AL107"/>
      <c r="AM107"/>
    </row>
    <row r="108" spans="1:39">
      <c r="A108" s="15" t="s">
        <v>96</v>
      </c>
      <c r="B108" s="15" t="s">
        <v>87</v>
      </c>
      <c r="C108" s="15" t="s">
        <v>142</v>
      </c>
      <c r="D108" s="15" t="s">
        <v>88</v>
      </c>
      <c r="E108" s="15" t="s">
        <v>107</v>
      </c>
      <c r="F108" s="15" t="s">
        <v>96</v>
      </c>
      <c r="G108" s="15" t="s">
        <v>143</v>
      </c>
      <c r="H108" s="15" t="s">
        <v>144</v>
      </c>
      <c r="I108" s="15">
        <v>25000</v>
      </c>
      <c r="N108" s="15">
        <v>25000</v>
      </c>
      <c r="AH108"/>
      <c r="AI108"/>
      <c r="AJ108"/>
      <c r="AK108"/>
      <c r="AL108"/>
      <c r="AM108"/>
    </row>
    <row r="109" spans="1:39">
      <c r="A109" s="15" t="s">
        <v>96</v>
      </c>
      <c r="B109" s="15" t="s">
        <v>87</v>
      </c>
      <c r="C109" s="15" t="s">
        <v>145</v>
      </c>
      <c r="D109" s="15" t="s">
        <v>88</v>
      </c>
      <c r="E109" s="15" t="s">
        <v>107</v>
      </c>
      <c r="F109" s="15" t="s">
        <v>96</v>
      </c>
      <c r="G109" s="15" t="s">
        <v>146</v>
      </c>
      <c r="H109" s="15" t="s">
        <v>131</v>
      </c>
      <c r="I109" s="15">
        <v>34000</v>
      </c>
      <c r="S109" s="15">
        <v>34000</v>
      </c>
      <c r="AH109"/>
      <c r="AI109"/>
      <c r="AJ109"/>
      <c r="AK109"/>
      <c r="AL109"/>
      <c r="AM109"/>
    </row>
    <row r="110" spans="1:39">
      <c r="A110" s="15" t="s">
        <v>96</v>
      </c>
      <c r="B110" s="15" t="s">
        <v>87</v>
      </c>
      <c r="C110" s="15" t="s">
        <v>145</v>
      </c>
      <c r="D110" s="15" t="s">
        <v>88</v>
      </c>
      <c r="E110" s="15" t="s">
        <v>107</v>
      </c>
      <c r="F110" s="15" t="s">
        <v>96</v>
      </c>
      <c r="G110" s="15" t="s">
        <v>147</v>
      </c>
      <c r="H110" s="15" t="s">
        <v>131</v>
      </c>
      <c r="I110" s="15">
        <v>274788.05</v>
      </c>
      <c r="K110" s="15">
        <v>274788.05</v>
      </c>
      <c r="AH110"/>
      <c r="AI110"/>
      <c r="AJ110"/>
      <c r="AK110"/>
      <c r="AL110"/>
      <c r="AM110"/>
    </row>
    <row r="111" spans="1:39">
      <c r="A111" s="15" t="s">
        <v>96</v>
      </c>
      <c r="B111" s="15" t="s">
        <v>87</v>
      </c>
      <c r="C111" s="15" t="s">
        <v>148</v>
      </c>
      <c r="D111" s="15" t="s">
        <v>88</v>
      </c>
      <c r="E111" s="15" t="s">
        <v>107</v>
      </c>
      <c r="F111" s="15" t="s">
        <v>96</v>
      </c>
      <c r="G111" s="15" t="s">
        <v>149</v>
      </c>
      <c r="H111" s="15" t="s">
        <v>131</v>
      </c>
      <c r="I111" s="15">
        <v>570835.57999999996</v>
      </c>
      <c r="S111" s="15">
        <v>570835.57999999996</v>
      </c>
      <c r="AH111"/>
      <c r="AI111"/>
      <c r="AJ111"/>
      <c r="AK111"/>
      <c r="AL111"/>
      <c r="AM111"/>
    </row>
    <row r="112" spans="1:39">
      <c r="A112" s="15" t="s">
        <v>96</v>
      </c>
      <c r="B112" s="15" t="s">
        <v>98</v>
      </c>
      <c r="C112" s="15" t="s">
        <v>156</v>
      </c>
      <c r="D112" s="15" t="s">
        <v>107</v>
      </c>
      <c r="E112" s="15" t="s">
        <v>88</v>
      </c>
      <c r="F112" s="15" t="s">
        <v>96</v>
      </c>
      <c r="G112" s="15" t="s">
        <v>157</v>
      </c>
      <c r="H112" s="15" t="s">
        <v>138</v>
      </c>
      <c r="I112" s="15">
        <v>-633000</v>
      </c>
      <c r="S112" s="15">
        <v>-633000</v>
      </c>
      <c r="AH112"/>
      <c r="AI112"/>
      <c r="AJ112"/>
      <c r="AK112"/>
      <c r="AL112"/>
      <c r="AM112"/>
    </row>
    <row r="113" spans="1:39">
      <c r="A113" s="15" t="s">
        <v>90</v>
      </c>
      <c r="B113" s="15" t="s">
        <v>118</v>
      </c>
      <c r="C113" s="15" t="s">
        <v>189</v>
      </c>
      <c r="D113" s="15" t="s">
        <v>88</v>
      </c>
      <c r="E113" s="15" t="s">
        <v>107</v>
      </c>
      <c r="F113" s="15" t="s">
        <v>182</v>
      </c>
      <c r="G113" s="15" t="s">
        <v>164</v>
      </c>
      <c r="H113" s="15" t="s">
        <v>190</v>
      </c>
      <c r="I113" s="15">
        <v>144000</v>
      </c>
      <c r="P113" s="15">
        <v>144000</v>
      </c>
      <c r="AH113"/>
      <c r="AI113"/>
      <c r="AJ113"/>
      <c r="AK113"/>
      <c r="AL113"/>
      <c r="AM113"/>
    </row>
    <row r="114" spans="1:39">
      <c r="A114" s="15" t="s">
        <v>90</v>
      </c>
      <c r="B114" s="15" t="s">
        <v>118</v>
      </c>
      <c r="C114" s="15" t="s">
        <v>189</v>
      </c>
      <c r="D114" s="15" t="s">
        <v>88</v>
      </c>
      <c r="E114" s="15" t="s">
        <v>107</v>
      </c>
      <c r="F114" s="15" t="s">
        <v>188</v>
      </c>
      <c r="G114" s="15" t="s">
        <v>164</v>
      </c>
      <c r="H114" s="15" t="s">
        <v>190</v>
      </c>
      <c r="I114" s="15">
        <v>206000</v>
      </c>
      <c r="P114" s="15">
        <v>206000</v>
      </c>
    </row>
    <row r="115" spans="1:39">
      <c r="A115" s="15" t="s">
        <v>90</v>
      </c>
      <c r="B115" s="15" t="s">
        <v>118</v>
      </c>
      <c r="C115" s="15" t="s">
        <v>165</v>
      </c>
      <c r="D115" s="15" t="s">
        <v>166</v>
      </c>
      <c r="E115" s="15" t="s">
        <v>107</v>
      </c>
      <c r="F115" s="15" t="s">
        <v>167</v>
      </c>
      <c r="G115" s="15" t="s">
        <v>168</v>
      </c>
      <c r="H115" s="15" t="s">
        <v>169</v>
      </c>
      <c r="I115" s="15">
        <v>10000</v>
      </c>
      <c r="P115" s="15">
        <v>10000</v>
      </c>
    </row>
    <row r="116" spans="1:39">
      <c r="A116" s="97" t="s">
        <v>90</v>
      </c>
      <c r="B116" s="97" t="s">
        <v>86</v>
      </c>
      <c r="C116" s="97" t="s">
        <v>173</v>
      </c>
      <c r="D116" s="97" t="s">
        <v>107</v>
      </c>
      <c r="E116" s="97" t="s">
        <v>88</v>
      </c>
      <c r="F116" s="97" t="s">
        <v>174</v>
      </c>
      <c r="G116" s="97" t="s">
        <v>175</v>
      </c>
      <c r="H116" s="97" t="s">
        <v>135</v>
      </c>
      <c r="I116" s="97">
        <v>-86579.88</v>
      </c>
      <c r="J116" s="97"/>
      <c r="K116" s="97">
        <v>-86579.88</v>
      </c>
      <c r="L116" s="97"/>
      <c r="M116" s="97"/>
      <c r="N116" s="97"/>
      <c r="O116" s="97"/>
      <c r="P116" s="97"/>
      <c r="Q116" s="97"/>
      <c r="R116" s="97"/>
      <c r="S116" s="97"/>
      <c r="T116" s="97"/>
      <c r="U116" s="97"/>
      <c r="V116" s="97"/>
      <c r="W116" s="97"/>
    </row>
    <row r="117" spans="1:39">
      <c r="A117" s="15" t="s">
        <v>90</v>
      </c>
      <c r="B117" s="15" t="s">
        <v>123</v>
      </c>
      <c r="C117" s="15" t="s">
        <v>139</v>
      </c>
      <c r="D117" s="15" t="s">
        <v>107</v>
      </c>
      <c r="E117" s="15" t="s">
        <v>120</v>
      </c>
      <c r="F117" s="15" t="s">
        <v>90</v>
      </c>
      <c r="G117" s="15" t="s">
        <v>140</v>
      </c>
      <c r="H117" s="15" t="s">
        <v>141</v>
      </c>
      <c r="I117" s="15">
        <v>-650000</v>
      </c>
      <c r="O117" s="15">
        <v>-158600</v>
      </c>
      <c r="P117" s="15">
        <v>-491400</v>
      </c>
    </row>
    <row r="118" spans="1:39">
      <c r="A118" s="15" t="s">
        <v>90</v>
      </c>
      <c r="B118" s="15" t="s">
        <v>170</v>
      </c>
      <c r="C118" s="15" t="s">
        <v>171</v>
      </c>
      <c r="D118" s="15" t="s">
        <v>88</v>
      </c>
      <c r="E118" s="15" t="s">
        <v>107</v>
      </c>
      <c r="F118" s="15" t="s">
        <v>90</v>
      </c>
      <c r="G118" s="15" t="s">
        <v>164</v>
      </c>
      <c r="H118" s="15" t="s">
        <v>172</v>
      </c>
      <c r="I118" s="15">
        <v>315000</v>
      </c>
      <c r="J118" s="15">
        <v>315000</v>
      </c>
    </row>
    <row r="119" spans="1:39">
      <c r="A119" s="98" t="s">
        <v>167</v>
      </c>
      <c r="B119" s="98" t="s">
        <v>86</v>
      </c>
      <c r="C119" s="98" t="s">
        <v>177</v>
      </c>
      <c r="D119" s="98" t="s">
        <v>107</v>
      </c>
      <c r="E119" s="98" t="s">
        <v>88</v>
      </c>
      <c r="F119" s="98" t="s">
        <v>178</v>
      </c>
      <c r="G119" s="98" t="s">
        <v>179</v>
      </c>
      <c r="H119" s="98" t="s">
        <v>180</v>
      </c>
      <c r="I119" s="98">
        <v>-156591</v>
      </c>
      <c r="J119" s="98"/>
      <c r="K119" s="98"/>
      <c r="L119" s="98"/>
      <c r="M119" s="98"/>
      <c r="N119" s="98"/>
      <c r="O119" s="98"/>
      <c r="P119" s="98"/>
      <c r="Q119" s="98"/>
      <c r="R119" s="98"/>
      <c r="S119" s="98">
        <v>-156591</v>
      </c>
      <c r="T119" s="98"/>
      <c r="U119" s="98"/>
      <c r="V119" s="98"/>
      <c r="W119" s="98"/>
    </row>
    <row r="120" spans="1:39">
      <c r="A120" s="98" t="s">
        <v>167</v>
      </c>
      <c r="B120" s="98" t="s">
        <v>123</v>
      </c>
      <c r="C120" s="98" t="s">
        <v>165</v>
      </c>
      <c r="D120" s="98" t="s">
        <v>107</v>
      </c>
      <c r="E120" s="98" t="s">
        <v>166</v>
      </c>
      <c r="F120" s="98" t="s">
        <v>167</v>
      </c>
      <c r="G120" s="98" t="s">
        <v>168</v>
      </c>
      <c r="H120" s="98" t="s">
        <v>169</v>
      </c>
      <c r="I120" s="98">
        <v>-10000</v>
      </c>
      <c r="J120" s="98"/>
      <c r="K120" s="98"/>
      <c r="L120" s="98"/>
      <c r="M120" s="98"/>
      <c r="N120" s="98"/>
      <c r="O120" s="98"/>
      <c r="P120" s="98">
        <v>-10000</v>
      </c>
      <c r="Q120" s="98"/>
      <c r="R120" s="98"/>
      <c r="S120" s="98"/>
      <c r="T120" s="98"/>
      <c r="U120" s="98"/>
      <c r="V120" s="98"/>
      <c r="W120" s="98"/>
    </row>
    <row r="121" spans="1:39">
      <c r="A121" s="98" t="s">
        <v>178</v>
      </c>
      <c r="B121" s="98" t="s">
        <v>86</v>
      </c>
      <c r="C121" s="98" t="s">
        <v>181</v>
      </c>
      <c r="D121" s="98" t="s">
        <v>107</v>
      </c>
      <c r="E121" s="98" t="s">
        <v>88</v>
      </c>
      <c r="F121" s="98" t="s">
        <v>182</v>
      </c>
      <c r="G121" s="98" t="s">
        <v>187</v>
      </c>
      <c r="H121" s="98" t="s">
        <v>135</v>
      </c>
      <c r="I121" s="98">
        <v>-2234.7199999999998</v>
      </c>
      <c r="J121" s="98"/>
      <c r="K121" s="98">
        <v>-2234.7199999999998</v>
      </c>
      <c r="L121" s="98"/>
      <c r="M121" s="98"/>
      <c r="N121" s="98"/>
      <c r="O121" s="98"/>
      <c r="P121" s="98"/>
      <c r="Q121" s="98"/>
      <c r="R121" s="98"/>
      <c r="S121" s="98"/>
      <c r="T121" s="98"/>
      <c r="U121" s="98"/>
      <c r="V121" s="98"/>
      <c r="W121" s="98"/>
    </row>
    <row r="122" spans="1:39">
      <c r="A122" s="98" t="s">
        <v>178</v>
      </c>
      <c r="B122" s="98" t="s">
        <v>87</v>
      </c>
      <c r="C122" s="98" t="s">
        <v>177</v>
      </c>
      <c r="D122" s="98" t="s">
        <v>88</v>
      </c>
      <c r="E122" s="98" t="s">
        <v>107</v>
      </c>
      <c r="F122" s="98" t="s">
        <v>178</v>
      </c>
      <c r="G122" s="98" t="s">
        <v>179</v>
      </c>
      <c r="H122" s="98" t="s">
        <v>180</v>
      </c>
      <c r="I122" s="98">
        <v>156591</v>
      </c>
      <c r="J122" s="98"/>
      <c r="K122" s="98"/>
      <c r="L122" s="98"/>
      <c r="M122" s="98"/>
      <c r="N122" s="98"/>
      <c r="O122" s="98"/>
      <c r="P122" s="98"/>
      <c r="Q122" s="98"/>
      <c r="R122" s="98"/>
      <c r="S122" s="98">
        <v>156591</v>
      </c>
      <c r="T122" s="98"/>
      <c r="U122" s="98"/>
      <c r="V122" s="98"/>
      <c r="W122" s="98"/>
    </row>
    <row r="123" spans="1:39">
      <c r="A123" s="100" t="s">
        <v>182</v>
      </c>
      <c r="B123" s="100" t="s">
        <v>86</v>
      </c>
      <c r="C123" s="100" t="s">
        <v>207</v>
      </c>
      <c r="D123" s="100" t="s">
        <v>107</v>
      </c>
      <c r="E123" s="100" t="s">
        <v>88</v>
      </c>
      <c r="F123" s="100" t="s">
        <v>174</v>
      </c>
      <c r="G123" s="100" t="s">
        <v>224</v>
      </c>
      <c r="H123" s="100" t="s">
        <v>208</v>
      </c>
      <c r="I123" s="100">
        <v>-184375.66</v>
      </c>
      <c r="J123" s="100"/>
      <c r="K123" s="100"/>
      <c r="L123" s="100"/>
      <c r="M123" s="100"/>
      <c r="N123" s="100"/>
      <c r="O123" s="100"/>
      <c r="P123" s="100"/>
      <c r="Q123" s="100"/>
      <c r="R123" s="100"/>
      <c r="S123" s="100"/>
      <c r="T123" s="100"/>
      <c r="U123" s="100"/>
      <c r="V123" s="100"/>
      <c r="W123" s="100">
        <v>-184375.66</v>
      </c>
    </row>
    <row r="124" spans="1:39">
      <c r="A124" s="100" t="s">
        <v>182</v>
      </c>
      <c r="B124" s="100" t="s">
        <v>87</v>
      </c>
      <c r="C124" s="100" t="s">
        <v>181</v>
      </c>
      <c r="D124" s="100" t="s">
        <v>88</v>
      </c>
      <c r="E124" s="100" t="s">
        <v>107</v>
      </c>
      <c r="F124" s="100" t="s">
        <v>182</v>
      </c>
      <c r="G124" s="100" t="s">
        <v>187</v>
      </c>
      <c r="H124" s="100" t="s">
        <v>135</v>
      </c>
      <c r="I124" s="100">
        <v>2234.7199999999998</v>
      </c>
      <c r="J124" s="100"/>
      <c r="K124" s="100">
        <v>2234.7199999999998</v>
      </c>
      <c r="L124" s="100"/>
      <c r="M124" s="100"/>
      <c r="N124" s="100"/>
      <c r="O124" s="100"/>
      <c r="P124" s="100"/>
      <c r="Q124" s="100"/>
      <c r="R124" s="100"/>
      <c r="S124" s="100"/>
      <c r="T124" s="100"/>
      <c r="U124" s="100"/>
      <c r="V124" s="100"/>
      <c r="W124" s="100"/>
    </row>
    <row r="125" spans="1:39">
      <c r="A125" s="100" t="s">
        <v>182</v>
      </c>
      <c r="B125" s="100" t="s">
        <v>123</v>
      </c>
      <c r="C125" s="100" t="s">
        <v>189</v>
      </c>
      <c r="D125" s="100" t="s">
        <v>107</v>
      </c>
      <c r="E125" s="100" t="s">
        <v>88</v>
      </c>
      <c r="F125" s="100" t="s">
        <v>182</v>
      </c>
      <c r="G125" s="100" t="s">
        <v>164</v>
      </c>
      <c r="H125" s="100" t="s">
        <v>190</v>
      </c>
      <c r="I125" s="100">
        <v>-144000</v>
      </c>
      <c r="J125" s="100"/>
      <c r="K125" s="100"/>
      <c r="L125" s="100"/>
      <c r="M125" s="100"/>
      <c r="N125" s="100"/>
      <c r="O125" s="100"/>
      <c r="P125" s="100">
        <v>-144000</v>
      </c>
      <c r="Q125" s="100"/>
      <c r="R125" s="100"/>
      <c r="S125" s="100"/>
      <c r="T125" s="100"/>
      <c r="U125" s="100"/>
      <c r="V125" s="100"/>
      <c r="W125" s="100"/>
    </row>
    <row r="126" spans="1:39">
      <c r="A126" s="100" t="s">
        <v>174</v>
      </c>
      <c r="B126" s="100" t="s">
        <v>86</v>
      </c>
      <c r="C126" s="100" t="s">
        <v>233</v>
      </c>
      <c r="D126" s="100" t="s">
        <v>107</v>
      </c>
      <c r="E126" s="100" t="s">
        <v>88</v>
      </c>
      <c r="F126" s="100" t="s">
        <v>188</v>
      </c>
      <c r="G126" s="100" t="s">
        <v>234</v>
      </c>
      <c r="H126" s="100" t="s">
        <v>235</v>
      </c>
      <c r="I126" s="100">
        <v>-94300.59</v>
      </c>
      <c r="J126" s="100"/>
      <c r="K126" s="100">
        <v>-92591.59</v>
      </c>
      <c r="L126" s="100"/>
      <c r="M126" s="100"/>
      <c r="N126" s="100"/>
      <c r="O126" s="100">
        <v>-1709</v>
      </c>
      <c r="P126" s="100"/>
      <c r="Q126" s="100"/>
      <c r="R126" s="100"/>
      <c r="S126" s="100"/>
      <c r="T126" s="100"/>
      <c r="U126" s="100"/>
      <c r="V126" s="100"/>
      <c r="W126" s="100"/>
    </row>
    <row r="127" spans="1:39">
      <c r="A127" s="140" t="s">
        <v>174</v>
      </c>
      <c r="B127" s="140" t="s">
        <v>87</v>
      </c>
      <c r="C127" s="140" t="s">
        <v>173</v>
      </c>
      <c r="D127" s="140" t="s">
        <v>88</v>
      </c>
      <c r="E127" s="140" t="s">
        <v>107</v>
      </c>
      <c r="F127" s="140" t="s">
        <v>174</v>
      </c>
      <c r="G127" s="140" t="s">
        <v>175</v>
      </c>
      <c r="H127" s="140" t="s">
        <v>135</v>
      </c>
      <c r="I127" s="140">
        <v>86579.88</v>
      </c>
      <c r="J127" s="140"/>
      <c r="K127" s="140">
        <v>86579.88</v>
      </c>
      <c r="L127" s="140"/>
      <c r="M127" s="140"/>
      <c r="N127" s="140"/>
      <c r="O127" s="140"/>
      <c r="P127" s="140"/>
      <c r="Q127" s="140"/>
      <c r="R127" s="140"/>
      <c r="S127" s="140"/>
      <c r="T127" s="140"/>
      <c r="U127" s="140"/>
      <c r="V127" s="140"/>
      <c r="W127" s="140"/>
    </row>
    <row r="128" spans="1:39">
      <c r="A128" s="140" t="s">
        <v>174</v>
      </c>
      <c r="B128" s="140" t="s">
        <v>87</v>
      </c>
      <c r="C128" s="140" t="s">
        <v>207</v>
      </c>
      <c r="D128" s="140" t="s">
        <v>88</v>
      </c>
      <c r="E128" s="140" t="s">
        <v>107</v>
      </c>
      <c r="F128" s="140" t="s">
        <v>174</v>
      </c>
      <c r="G128" s="140" t="s">
        <v>224</v>
      </c>
      <c r="H128" s="140" t="s">
        <v>208</v>
      </c>
      <c r="I128" s="140">
        <v>184375.66</v>
      </c>
      <c r="J128" s="140"/>
      <c r="K128" s="140"/>
      <c r="L128" s="140"/>
      <c r="M128" s="140"/>
      <c r="N128" s="140"/>
      <c r="O128" s="140"/>
      <c r="P128" s="140"/>
      <c r="Q128" s="140"/>
      <c r="R128" s="140"/>
      <c r="S128" s="140"/>
      <c r="T128" s="140"/>
      <c r="U128" s="140"/>
      <c r="V128" s="140"/>
      <c r="W128" s="140">
        <v>184375.66</v>
      </c>
    </row>
    <row r="129" spans="1:23">
      <c r="A129" s="15" t="s">
        <v>174</v>
      </c>
      <c r="B129" s="15" t="s">
        <v>170</v>
      </c>
      <c r="C129" s="15" t="s">
        <v>230</v>
      </c>
      <c r="D129" s="15" t="s">
        <v>120</v>
      </c>
      <c r="E129" s="15" t="s">
        <v>107</v>
      </c>
      <c r="F129" s="15" t="s">
        <v>174</v>
      </c>
      <c r="G129" s="15" t="s">
        <v>231</v>
      </c>
      <c r="H129" s="15" t="s">
        <v>232</v>
      </c>
      <c r="I129" s="15">
        <v>10000</v>
      </c>
      <c r="N129" s="15">
        <v>10000</v>
      </c>
    </row>
    <row r="130" spans="1:23">
      <c r="A130" s="178" t="s">
        <v>188</v>
      </c>
      <c r="B130" s="178" t="s">
        <v>86</v>
      </c>
      <c r="C130" s="178" t="s">
        <v>240</v>
      </c>
      <c r="D130" s="178" t="s">
        <v>107</v>
      </c>
      <c r="E130" s="178" t="s">
        <v>88</v>
      </c>
      <c r="F130" s="178" t="s">
        <v>241</v>
      </c>
      <c r="G130" s="178" t="s">
        <v>242</v>
      </c>
      <c r="H130" s="178" t="s">
        <v>243</v>
      </c>
      <c r="I130" s="178">
        <v>-103000</v>
      </c>
      <c r="J130" s="178"/>
      <c r="K130" s="178"/>
      <c r="L130" s="178"/>
      <c r="M130" s="178"/>
      <c r="N130" s="178"/>
      <c r="O130" s="178">
        <v>-103000</v>
      </c>
      <c r="P130" s="178"/>
      <c r="Q130" s="178"/>
      <c r="R130" s="178"/>
      <c r="S130" s="178"/>
      <c r="T130" s="178"/>
      <c r="U130" s="178"/>
      <c r="V130" s="178"/>
      <c r="W130" s="178"/>
    </row>
    <row r="131" spans="1:23">
      <c r="A131" s="178" t="s">
        <v>188</v>
      </c>
      <c r="B131" s="178" t="s">
        <v>86</v>
      </c>
      <c r="C131" s="178" t="s">
        <v>244</v>
      </c>
      <c r="D131" s="178" t="s">
        <v>107</v>
      </c>
      <c r="E131" s="178" t="s">
        <v>88</v>
      </c>
      <c r="F131" s="178" t="s">
        <v>241</v>
      </c>
      <c r="G131" s="178" t="s">
        <v>245</v>
      </c>
      <c r="H131" s="178" t="s">
        <v>246</v>
      </c>
      <c r="I131" s="178">
        <v>-26851</v>
      </c>
      <c r="J131" s="178"/>
      <c r="K131" s="178"/>
      <c r="L131" s="178"/>
      <c r="M131" s="178"/>
      <c r="N131" s="178"/>
      <c r="O131" s="178"/>
      <c r="P131" s="178"/>
      <c r="Q131" s="178"/>
      <c r="R131" s="178"/>
      <c r="S131" s="178"/>
      <c r="T131" s="178"/>
      <c r="U131" s="178"/>
      <c r="V131" s="178"/>
      <c r="W131" s="178">
        <v>-26851</v>
      </c>
    </row>
    <row r="132" spans="1:23">
      <c r="A132" s="181" t="s">
        <v>188</v>
      </c>
      <c r="B132" s="181" t="s">
        <v>86</v>
      </c>
      <c r="C132" s="181" t="s">
        <v>247</v>
      </c>
      <c r="D132" s="181" t="s">
        <v>107</v>
      </c>
      <c r="E132" s="181" t="s">
        <v>88</v>
      </c>
      <c r="F132" s="181" t="s">
        <v>241</v>
      </c>
      <c r="G132" s="181" t="s">
        <v>248</v>
      </c>
      <c r="H132" s="181" t="s">
        <v>135</v>
      </c>
      <c r="I132" s="181">
        <v>-32646</v>
      </c>
      <c r="J132" s="181"/>
      <c r="K132" s="181">
        <v>-32646</v>
      </c>
      <c r="L132" s="181"/>
      <c r="M132" s="181"/>
      <c r="N132" s="181"/>
      <c r="O132" s="181"/>
      <c r="P132" s="181"/>
      <c r="Q132" s="181"/>
      <c r="R132" s="181"/>
      <c r="S132" s="181"/>
      <c r="T132" s="181"/>
      <c r="U132" s="181"/>
      <c r="V132" s="181"/>
      <c r="W132" s="181"/>
    </row>
    <row r="133" spans="1:23">
      <c r="A133" s="181" t="s">
        <v>188</v>
      </c>
      <c r="B133" s="181" t="s">
        <v>87</v>
      </c>
      <c r="C133" s="181" t="s">
        <v>233</v>
      </c>
      <c r="D133" s="181" t="s">
        <v>88</v>
      </c>
      <c r="E133" s="181" t="s">
        <v>107</v>
      </c>
      <c r="F133" s="181" t="s">
        <v>188</v>
      </c>
      <c r="G133" s="181" t="s">
        <v>234</v>
      </c>
      <c r="H133" s="181" t="s">
        <v>235</v>
      </c>
      <c r="I133" s="181">
        <v>94300.59</v>
      </c>
      <c r="J133" s="181"/>
      <c r="K133" s="181">
        <v>92591.59</v>
      </c>
      <c r="L133" s="181"/>
      <c r="M133" s="181"/>
      <c r="N133" s="181"/>
      <c r="O133" s="181">
        <v>1709</v>
      </c>
      <c r="P133" s="181"/>
      <c r="Q133" s="181"/>
      <c r="R133" s="181"/>
      <c r="S133" s="181"/>
      <c r="T133" s="181"/>
      <c r="U133" s="181"/>
      <c r="V133" s="181"/>
      <c r="W133" s="181"/>
    </row>
    <row r="134" spans="1:23">
      <c r="A134" s="181" t="s">
        <v>188</v>
      </c>
      <c r="B134" s="181" t="s">
        <v>123</v>
      </c>
      <c r="C134" s="181" t="s">
        <v>189</v>
      </c>
      <c r="D134" s="181" t="s">
        <v>107</v>
      </c>
      <c r="E134" s="181" t="s">
        <v>88</v>
      </c>
      <c r="F134" s="181" t="s">
        <v>188</v>
      </c>
      <c r="G134" s="181" t="s">
        <v>164</v>
      </c>
      <c r="H134" s="181" t="s">
        <v>190</v>
      </c>
      <c r="I134" s="181">
        <v>-206000</v>
      </c>
      <c r="J134" s="181"/>
      <c r="K134" s="181"/>
      <c r="L134" s="181"/>
      <c r="M134" s="181"/>
      <c r="N134" s="181"/>
      <c r="O134" s="181"/>
      <c r="P134" s="181">
        <v>-206000</v>
      </c>
      <c r="Q134" s="181"/>
      <c r="R134" s="181"/>
      <c r="S134" s="181"/>
      <c r="T134" s="181"/>
      <c r="U134" s="181"/>
      <c r="V134" s="181"/>
      <c r="W134" s="181"/>
    </row>
    <row r="135" spans="1:23">
      <c r="A135" s="181" t="s">
        <v>241</v>
      </c>
      <c r="B135" s="181" t="s">
        <v>87</v>
      </c>
      <c r="C135" s="181" t="s">
        <v>240</v>
      </c>
      <c r="D135" s="181" t="s">
        <v>88</v>
      </c>
      <c r="E135" s="181" t="s">
        <v>107</v>
      </c>
      <c r="F135" s="181" t="s">
        <v>241</v>
      </c>
      <c r="G135" s="181" t="s">
        <v>242</v>
      </c>
      <c r="H135" s="181" t="s">
        <v>249</v>
      </c>
      <c r="I135" s="181">
        <v>103000</v>
      </c>
      <c r="J135" s="181"/>
      <c r="K135" s="181"/>
      <c r="L135" s="181"/>
      <c r="M135" s="181"/>
      <c r="N135" s="181"/>
      <c r="O135" s="181">
        <v>103000</v>
      </c>
      <c r="P135" s="181"/>
      <c r="Q135" s="181"/>
      <c r="R135" s="181"/>
      <c r="S135" s="181"/>
      <c r="T135" s="181"/>
      <c r="U135" s="181"/>
      <c r="V135" s="181"/>
      <c r="W135" s="181"/>
    </row>
    <row r="136" spans="1:23">
      <c r="A136" s="181" t="s">
        <v>241</v>
      </c>
      <c r="B136" s="181" t="s">
        <v>87</v>
      </c>
      <c r="C136" s="181" t="s">
        <v>244</v>
      </c>
      <c r="D136" s="181" t="s">
        <v>88</v>
      </c>
      <c r="E136" s="181" t="s">
        <v>107</v>
      </c>
      <c r="F136" s="181" t="s">
        <v>241</v>
      </c>
      <c r="G136" s="181" t="s">
        <v>245</v>
      </c>
      <c r="H136" s="181" t="s">
        <v>246</v>
      </c>
      <c r="I136" s="181">
        <v>26851</v>
      </c>
      <c r="J136" s="181"/>
      <c r="K136" s="181"/>
      <c r="L136" s="181"/>
      <c r="M136" s="181"/>
      <c r="N136" s="181"/>
      <c r="O136" s="181"/>
      <c r="P136" s="181"/>
      <c r="Q136" s="181"/>
      <c r="R136" s="181"/>
      <c r="S136" s="181"/>
      <c r="T136" s="181"/>
      <c r="U136" s="181"/>
      <c r="V136" s="181"/>
      <c r="W136" s="181">
        <v>26851</v>
      </c>
    </row>
    <row r="137" spans="1:23">
      <c r="A137" s="181" t="s">
        <v>241</v>
      </c>
      <c r="B137" s="181" t="s">
        <v>87</v>
      </c>
      <c r="C137" s="181" t="s">
        <v>247</v>
      </c>
      <c r="D137" s="181" t="s">
        <v>88</v>
      </c>
      <c r="E137" s="181" t="s">
        <v>107</v>
      </c>
      <c r="F137" s="181" t="s">
        <v>241</v>
      </c>
      <c r="G137" s="181" t="s">
        <v>248</v>
      </c>
      <c r="H137" s="181" t="s">
        <v>135</v>
      </c>
      <c r="I137" s="181">
        <v>32646</v>
      </c>
      <c r="J137" s="181"/>
      <c r="K137" s="181">
        <v>32646</v>
      </c>
      <c r="L137" s="181"/>
      <c r="M137" s="181"/>
      <c r="N137" s="181"/>
      <c r="O137" s="181"/>
      <c r="P137" s="181"/>
      <c r="Q137" s="181"/>
      <c r="R137" s="181"/>
      <c r="S137" s="181"/>
      <c r="T137" s="181"/>
      <c r="U137" s="181"/>
      <c r="V137" s="181"/>
      <c r="W137" s="181"/>
    </row>
    <row r="138" spans="1:23">
      <c r="A138" s="15" t="s">
        <v>241</v>
      </c>
      <c r="B138" s="15" t="s">
        <v>170</v>
      </c>
      <c r="C138" s="15" t="s">
        <v>255</v>
      </c>
      <c r="D138" s="15" t="s">
        <v>120</v>
      </c>
      <c r="E138" s="15" t="s">
        <v>107</v>
      </c>
      <c r="F138" s="15" t="s">
        <v>241</v>
      </c>
      <c r="G138" s="15" t="s">
        <v>256</v>
      </c>
      <c r="H138" s="15" t="s">
        <v>257</v>
      </c>
      <c r="I138" s="15">
        <v>54480</v>
      </c>
      <c r="O138" s="15">
        <v>54480</v>
      </c>
    </row>
  </sheetData>
  <mergeCells count="5">
    <mergeCell ref="A1:F1"/>
    <mergeCell ref="A3:F3"/>
    <mergeCell ref="A9:G9"/>
    <mergeCell ref="A75:G75"/>
    <mergeCell ref="A7:H7"/>
  </mergeCells>
  <pageMargins left="0.7" right="0.7" top="0.75" bottom="0.75" header="0.3" footer="0.3"/>
  <pageSetup paperSize="17" scale="34"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58"/>
  <sheetViews>
    <sheetView topLeftCell="A12" zoomScaleNormal="100" workbookViewId="0">
      <selection activeCell="B24" sqref="B24:E24"/>
    </sheetView>
  </sheetViews>
  <sheetFormatPr defaultRowHeight="15"/>
  <cols>
    <col min="1" max="1" width="9.140625" style="1"/>
    <col min="2" max="2" width="20.7109375" customWidth="1"/>
    <col min="3" max="3" width="37.42578125" customWidth="1"/>
    <col min="4" max="4" width="15.7109375" customWidth="1"/>
    <col min="5" max="5" width="18.28515625" customWidth="1"/>
    <col min="9" max="9" width="10.5703125" bestFit="1" customWidth="1"/>
    <col min="10" max="10" width="10.85546875" bestFit="1" customWidth="1"/>
  </cols>
  <sheetData>
    <row r="1" spans="1:11">
      <c r="A1" s="3" t="s">
        <v>13</v>
      </c>
      <c r="B1" s="218" t="s">
        <v>14</v>
      </c>
      <c r="C1" s="218"/>
      <c r="D1" s="218"/>
      <c r="E1" s="218"/>
    </row>
    <row r="2" spans="1:11" ht="81.75" customHeight="1">
      <c r="A2" s="1">
        <v>1</v>
      </c>
      <c r="B2" s="211" t="s">
        <v>16</v>
      </c>
      <c r="C2" s="211"/>
      <c r="D2" s="211"/>
      <c r="E2" s="211"/>
    </row>
    <row r="3" spans="1:11">
      <c r="B3" s="2"/>
      <c r="C3" s="2"/>
      <c r="D3" s="2"/>
      <c r="E3" s="2"/>
    </row>
    <row r="4" spans="1:11" ht="33" customHeight="1">
      <c r="A4" s="1">
        <v>2</v>
      </c>
      <c r="B4" s="211" t="s">
        <v>17</v>
      </c>
      <c r="C4" s="211"/>
      <c r="D4" s="211"/>
      <c r="E4" s="211"/>
    </row>
    <row r="5" spans="1:11">
      <c r="B5" s="2"/>
      <c r="C5" s="2"/>
      <c r="D5" s="2"/>
      <c r="E5" s="2"/>
    </row>
    <row r="6" spans="1:11" ht="36" customHeight="1">
      <c r="A6" s="1">
        <v>3</v>
      </c>
      <c r="B6" s="211" t="s">
        <v>205</v>
      </c>
      <c r="C6" s="211"/>
      <c r="D6" s="211"/>
      <c r="E6" s="211"/>
    </row>
    <row r="7" spans="1:11" ht="114" customHeight="1">
      <c r="A7" s="1">
        <v>3</v>
      </c>
      <c r="B7" s="212" t="s">
        <v>163</v>
      </c>
      <c r="C7" s="212"/>
      <c r="D7" s="212"/>
      <c r="E7" s="212"/>
    </row>
    <row r="8" spans="1:11">
      <c r="B8" s="2"/>
      <c r="C8" s="2"/>
      <c r="D8" s="2"/>
      <c r="E8" s="2"/>
    </row>
    <row r="9" spans="1:11" ht="18" customHeight="1">
      <c r="A9" s="1">
        <v>4</v>
      </c>
      <c r="B9" s="221" t="s">
        <v>226</v>
      </c>
      <c r="C9" s="221"/>
      <c r="D9" s="6"/>
      <c r="E9" s="6"/>
    </row>
    <row r="10" spans="1:11" ht="18" customHeight="1">
      <c r="B10" s="220" t="s">
        <v>285</v>
      </c>
      <c r="C10" s="220"/>
      <c r="D10" s="9">
        <v>55302.32</v>
      </c>
      <c r="I10" s="170"/>
    </row>
    <row r="11" spans="1:11" ht="18" customHeight="1">
      <c r="B11" s="211" t="s">
        <v>286</v>
      </c>
      <c r="C11" s="211"/>
      <c r="D11" s="8">
        <v>0</v>
      </c>
      <c r="E11" s="99">
        <f>D11/$D$10</f>
        <v>0</v>
      </c>
      <c r="J11" s="170"/>
    </row>
    <row r="12" spans="1:11" ht="33.75" customHeight="1">
      <c r="B12" s="220" t="s">
        <v>288</v>
      </c>
      <c r="C12" s="220"/>
      <c r="D12" s="10">
        <f>+D10+D11</f>
        <v>55302.32</v>
      </c>
      <c r="E12" s="99">
        <f>D12/$D$10</f>
        <v>1</v>
      </c>
      <c r="K12" s="170"/>
    </row>
    <row r="13" spans="1:11" ht="31.5" customHeight="1">
      <c r="B13" s="211" t="s">
        <v>289</v>
      </c>
      <c r="C13" s="211"/>
      <c r="D13" s="7">
        <f>125000-D12</f>
        <v>69697.679999999993</v>
      </c>
      <c r="E13" s="99">
        <f>D13/$D$10</f>
        <v>1.2603030035629608</v>
      </c>
    </row>
    <row r="14" spans="1:11" ht="36.75" customHeight="1">
      <c r="B14" s="220" t="s">
        <v>287</v>
      </c>
      <c r="C14" s="220"/>
      <c r="D14" s="11">
        <f>SUM(D12:D13)</f>
        <v>125000</v>
      </c>
      <c r="E14" s="170"/>
    </row>
    <row r="15" spans="1:11" ht="18" customHeight="1">
      <c r="B15" s="2"/>
      <c r="C15" s="2"/>
      <c r="D15" s="13"/>
    </row>
    <row r="16" spans="1:11" ht="84.75" customHeight="1">
      <c r="A16" s="1">
        <v>5</v>
      </c>
      <c r="B16" s="219" t="s">
        <v>54</v>
      </c>
      <c r="C16" s="219"/>
      <c r="D16" s="219"/>
      <c r="E16" s="219"/>
    </row>
    <row r="17" spans="1:5">
      <c r="B17" s="2"/>
      <c r="C17" s="2"/>
      <c r="D17" s="2"/>
      <c r="E17" s="2"/>
    </row>
    <row r="18" spans="1:5" ht="31.5" customHeight="1">
      <c r="A18" s="1">
        <v>6</v>
      </c>
      <c r="B18" s="222" t="s">
        <v>307</v>
      </c>
      <c r="C18" s="222"/>
      <c r="D18" s="222"/>
      <c r="E18" s="222"/>
    </row>
    <row r="19" spans="1:5">
      <c r="B19" s="2"/>
      <c r="C19" s="2"/>
      <c r="D19" s="2"/>
      <c r="E19" s="2"/>
    </row>
    <row r="20" spans="1:5" ht="33" customHeight="1">
      <c r="A20" s="1">
        <v>7</v>
      </c>
      <c r="B20" s="211" t="s">
        <v>35</v>
      </c>
      <c r="C20" s="211"/>
      <c r="D20" s="211"/>
      <c r="E20" s="211"/>
    </row>
    <row r="21" spans="1:5" ht="14.25" customHeight="1">
      <c r="B21" s="2"/>
      <c r="C21" s="2"/>
      <c r="D21" s="2"/>
      <c r="E21" s="2"/>
    </row>
    <row r="22" spans="1:5" ht="47.25" customHeight="1">
      <c r="A22" s="1">
        <v>8</v>
      </c>
      <c r="B22" s="211" t="s">
        <v>36</v>
      </c>
      <c r="C22" s="211"/>
      <c r="D22" s="211"/>
      <c r="E22" s="211"/>
    </row>
    <row r="23" spans="1:5" ht="15" customHeight="1">
      <c r="B23" s="2"/>
      <c r="C23" s="2"/>
      <c r="D23" s="2"/>
      <c r="E23" s="2"/>
    </row>
    <row r="24" spans="1:5" ht="32.25" customHeight="1">
      <c r="A24" s="1">
        <v>9</v>
      </c>
      <c r="B24" s="211" t="s">
        <v>34</v>
      </c>
      <c r="C24" s="211"/>
      <c r="D24" s="211"/>
      <c r="E24" s="211"/>
    </row>
    <row r="25" spans="1:5" ht="15" customHeight="1">
      <c r="B25" s="2"/>
      <c r="C25" s="2"/>
      <c r="D25" s="2"/>
      <c r="E25" s="2"/>
    </row>
    <row r="26" spans="1:5" ht="33" customHeight="1">
      <c r="A26" s="1">
        <v>10</v>
      </c>
      <c r="B26" s="211" t="s">
        <v>37</v>
      </c>
      <c r="C26" s="211"/>
      <c r="D26" s="211"/>
      <c r="E26" s="211"/>
    </row>
    <row r="27" spans="1:5">
      <c r="B27" s="2"/>
      <c r="C27" s="2"/>
      <c r="D27" s="2"/>
      <c r="E27" s="2"/>
    </row>
    <row r="28" spans="1:5" ht="30" customHeight="1">
      <c r="A28" s="1">
        <v>11</v>
      </c>
      <c r="B28" s="211" t="s">
        <v>38</v>
      </c>
      <c r="C28" s="211"/>
      <c r="D28" s="211"/>
      <c r="E28" s="211"/>
    </row>
    <row r="29" spans="1:5">
      <c r="B29" s="2"/>
      <c r="C29" s="2"/>
      <c r="D29" s="2"/>
      <c r="E29" s="2"/>
    </row>
    <row r="30" spans="1:5" ht="31.5" customHeight="1">
      <c r="A30" s="1">
        <v>12</v>
      </c>
      <c r="B30" s="211" t="s">
        <v>39</v>
      </c>
      <c r="C30" s="211"/>
      <c r="D30" s="211"/>
      <c r="E30" s="211"/>
    </row>
    <row r="31" spans="1:5">
      <c r="B31" s="2"/>
      <c r="C31" s="2"/>
      <c r="D31" s="2"/>
      <c r="E31" s="2"/>
    </row>
    <row r="32" spans="1:5" ht="34.5" customHeight="1">
      <c r="A32" s="1">
        <v>13</v>
      </c>
      <c r="B32" s="211" t="s">
        <v>18</v>
      </c>
      <c r="C32" s="211"/>
      <c r="D32" s="211"/>
      <c r="E32" s="211"/>
    </row>
    <row r="33" spans="1:5" ht="16.5" customHeight="1">
      <c r="B33" s="2"/>
      <c r="C33" s="2"/>
      <c r="D33" s="2"/>
      <c r="E33" s="2"/>
    </row>
    <row r="34" spans="1:5" ht="64.5" customHeight="1">
      <c r="A34" s="1">
        <v>14</v>
      </c>
      <c r="B34" s="211" t="s">
        <v>19</v>
      </c>
      <c r="C34" s="211"/>
      <c r="D34" s="211"/>
      <c r="E34" s="211"/>
    </row>
    <row r="35" spans="1:5" ht="14.25" customHeight="1">
      <c r="B35" s="2"/>
      <c r="C35" s="2"/>
      <c r="D35" s="2"/>
      <c r="E35" s="2"/>
    </row>
    <row r="36" spans="1:5">
      <c r="A36" s="1">
        <v>15</v>
      </c>
      <c r="B36" s="215" t="s">
        <v>33</v>
      </c>
      <c r="C36" s="215"/>
      <c r="D36" s="215"/>
      <c r="E36" s="215"/>
    </row>
    <row r="37" spans="1:5">
      <c r="B37" s="12" t="s">
        <v>7</v>
      </c>
      <c r="C37" s="216" t="s">
        <v>20</v>
      </c>
      <c r="D37" s="216"/>
      <c r="E37" s="216"/>
    </row>
    <row r="38" spans="1:5">
      <c r="B38" s="4" t="s">
        <v>21</v>
      </c>
      <c r="C38" s="217" t="s">
        <v>28</v>
      </c>
      <c r="D38" s="217"/>
      <c r="E38" s="217"/>
    </row>
    <row r="39" spans="1:5">
      <c r="B39" s="12" t="s">
        <v>22</v>
      </c>
      <c r="C39" s="216" t="s">
        <v>29</v>
      </c>
      <c r="D39" s="216"/>
      <c r="E39" s="216"/>
    </row>
    <row r="40" spans="1:5">
      <c r="B40" s="4" t="s">
        <v>23</v>
      </c>
      <c r="C40" s="217" t="s">
        <v>32</v>
      </c>
      <c r="D40" s="217"/>
      <c r="E40" s="217"/>
    </row>
    <row r="41" spans="1:5">
      <c r="B41" s="12" t="s">
        <v>9</v>
      </c>
      <c r="C41" s="216" t="s">
        <v>30</v>
      </c>
      <c r="D41" s="216"/>
      <c r="E41" s="216"/>
    </row>
    <row r="42" spans="1:5">
      <c r="B42" s="4" t="s">
        <v>8</v>
      </c>
      <c r="C42" s="217" t="s">
        <v>24</v>
      </c>
      <c r="D42" s="217"/>
      <c r="E42" s="217"/>
    </row>
    <row r="43" spans="1:5">
      <c r="B43" s="12" t="s">
        <v>25</v>
      </c>
      <c r="C43" s="216" t="s">
        <v>26</v>
      </c>
      <c r="D43" s="216"/>
      <c r="E43" s="216"/>
    </row>
    <row r="44" spans="1:5">
      <c r="B44" s="4" t="s">
        <v>27</v>
      </c>
      <c r="C44" s="217" t="s">
        <v>31</v>
      </c>
      <c r="D44" s="217"/>
      <c r="E44" s="217"/>
    </row>
    <row r="45" spans="1:5">
      <c r="B45" s="4"/>
      <c r="C45" s="5"/>
      <c r="D45" s="5"/>
      <c r="E45" s="5"/>
    </row>
    <row r="46" spans="1:5">
      <c r="A46" s="1">
        <v>16</v>
      </c>
      <c r="B46" s="14" t="s">
        <v>60</v>
      </c>
      <c r="C46" s="5"/>
      <c r="D46" s="5"/>
      <c r="E46" s="5"/>
    </row>
    <row r="47" spans="1:5" ht="30" customHeight="1">
      <c r="B47" s="12" t="s">
        <v>47</v>
      </c>
      <c r="C47" s="216" t="s">
        <v>62</v>
      </c>
      <c r="D47" s="216"/>
      <c r="E47" s="216"/>
    </row>
    <row r="48" spans="1:5">
      <c r="B48" s="4" t="s">
        <v>48</v>
      </c>
      <c r="C48" s="217" t="s">
        <v>61</v>
      </c>
      <c r="D48" s="217"/>
      <c r="E48" s="217"/>
    </row>
    <row r="49" spans="1:5" ht="48.75" customHeight="1">
      <c r="B49" s="12" t="s">
        <v>49</v>
      </c>
      <c r="C49" s="216" t="s">
        <v>64</v>
      </c>
      <c r="D49" s="216"/>
      <c r="E49" s="216"/>
    </row>
    <row r="50" spans="1:5" ht="29.25" customHeight="1">
      <c r="B50" s="4" t="s">
        <v>50</v>
      </c>
      <c r="C50" s="217" t="s">
        <v>63</v>
      </c>
      <c r="D50" s="217"/>
      <c r="E50" s="217"/>
    </row>
    <row r="51" spans="1:5">
      <c r="B51" s="4"/>
      <c r="C51" s="5"/>
      <c r="D51" s="5"/>
      <c r="E51" s="5"/>
    </row>
    <row r="52" spans="1:5" ht="94.5" customHeight="1">
      <c r="A52" s="1">
        <v>17</v>
      </c>
      <c r="B52" s="214" t="s">
        <v>297</v>
      </c>
      <c r="C52" s="214"/>
      <c r="D52" s="214"/>
      <c r="E52" s="214"/>
    </row>
    <row r="57" spans="1:5">
      <c r="A57" s="213" t="s">
        <v>251</v>
      </c>
      <c r="B57" s="213"/>
      <c r="C57" s="213"/>
      <c r="D57" s="213"/>
      <c r="E57" s="213"/>
    </row>
    <row r="58" spans="1:5">
      <c r="A58" s="182" t="s">
        <v>252</v>
      </c>
    </row>
  </sheetData>
  <mergeCells count="36">
    <mergeCell ref="C47:E47"/>
    <mergeCell ref="C48:E48"/>
    <mergeCell ref="C50:E50"/>
    <mergeCell ref="C49:E49"/>
    <mergeCell ref="B30:E30"/>
    <mergeCell ref="B32:E32"/>
    <mergeCell ref="B34:E34"/>
    <mergeCell ref="B24:E24"/>
    <mergeCell ref="B1:E1"/>
    <mergeCell ref="B2:E2"/>
    <mergeCell ref="B4:E4"/>
    <mergeCell ref="B16:E16"/>
    <mergeCell ref="B11:C11"/>
    <mergeCell ref="B12:C12"/>
    <mergeCell ref="B14:C14"/>
    <mergeCell ref="B13:C13"/>
    <mergeCell ref="B9:C9"/>
    <mergeCell ref="B10:C10"/>
    <mergeCell ref="B6:E6"/>
    <mergeCell ref="B18:E18"/>
    <mergeCell ref="B26:E26"/>
    <mergeCell ref="B28:E28"/>
    <mergeCell ref="B7:E7"/>
    <mergeCell ref="A57:E57"/>
    <mergeCell ref="B20:E20"/>
    <mergeCell ref="B52:E52"/>
    <mergeCell ref="B36:E36"/>
    <mergeCell ref="C37:E37"/>
    <mergeCell ref="C38:E38"/>
    <mergeCell ref="C39:E39"/>
    <mergeCell ref="C40:E40"/>
    <mergeCell ref="C41:E41"/>
    <mergeCell ref="C42:E42"/>
    <mergeCell ref="C43:E43"/>
    <mergeCell ref="C44:E44"/>
    <mergeCell ref="B22:E22"/>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3"/>
  <sheetViews>
    <sheetView workbookViewId="0">
      <selection activeCell="E13" sqref="E13"/>
    </sheetView>
  </sheetViews>
  <sheetFormatPr defaultRowHeight="15"/>
  <cols>
    <col min="2" max="2" width="34.5703125" customWidth="1"/>
    <col min="5" max="5" width="11.28515625" bestFit="1" customWidth="1"/>
    <col min="6" max="6" width="19.5703125" bestFit="1" customWidth="1"/>
    <col min="8" max="8" width="34.5703125" customWidth="1"/>
    <col min="11" max="11" width="9.42578125" bestFit="1" customWidth="1"/>
    <col min="12" max="12" width="19.5703125" bestFit="1" customWidth="1"/>
    <col min="14" max="14" width="34.5703125" customWidth="1"/>
    <col min="15" max="15" width="13.28515625" bestFit="1" customWidth="1"/>
    <col min="17" max="17" width="9.42578125" bestFit="1" customWidth="1"/>
    <col min="18" max="18" width="19.5703125" bestFit="1" customWidth="1"/>
    <col min="20" max="20" width="34.5703125" customWidth="1"/>
    <col min="21" max="21" width="13.28515625" bestFit="1" customWidth="1"/>
    <col min="23" max="23" width="9.42578125" bestFit="1" customWidth="1"/>
    <col min="24" max="24" width="19.5703125" bestFit="1" customWidth="1"/>
    <col min="26" max="26" width="41.5703125" customWidth="1"/>
    <col min="29" max="29" width="9.42578125" bestFit="1" customWidth="1"/>
    <col min="32" max="32" width="41.7109375" customWidth="1"/>
  </cols>
  <sheetData>
    <row r="1" spans="1:35" ht="15.75" thickBot="1">
      <c r="A1" s="228" t="s">
        <v>191</v>
      </c>
      <c r="B1" s="229"/>
      <c r="C1" s="223" t="s">
        <v>296</v>
      </c>
      <c r="D1" s="224"/>
      <c r="E1" s="225"/>
      <c r="G1" s="228" t="s">
        <v>191</v>
      </c>
      <c r="H1" s="229"/>
      <c r="I1" s="223" t="s">
        <v>268</v>
      </c>
      <c r="J1" s="224"/>
      <c r="K1" s="225"/>
      <c r="M1" s="228" t="s">
        <v>191</v>
      </c>
      <c r="N1" s="229"/>
      <c r="O1" s="223" t="s">
        <v>237</v>
      </c>
      <c r="P1" s="224"/>
      <c r="Q1" s="225"/>
      <c r="S1" s="228" t="s">
        <v>191</v>
      </c>
      <c r="T1" s="229"/>
      <c r="U1" s="223" t="s">
        <v>225</v>
      </c>
      <c r="V1" s="224"/>
      <c r="W1" s="225"/>
      <c r="Y1" s="228" t="s">
        <v>191</v>
      </c>
      <c r="Z1" s="229"/>
      <c r="AA1" s="223" t="s">
        <v>206</v>
      </c>
      <c r="AB1" s="224"/>
      <c r="AC1" s="225"/>
      <c r="AE1" s="228" t="s">
        <v>191</v>
      </c>
      <c r="AF1" s="229"/>
      <c r="AG1" s="223" t="s">
        <v>204</v>
      </c>
      <c r="AH1" s="224"/>
      <c r="AI1" s="225"/>
    </row>
    <row r="2" spans="1:35">
      <c r="A2" s="101" t="s">
        <v>192</v>
      </c>
      <c r="B2" s="102" t="s">
        <v>193</v>
      </c>
      <c r="C2" s="104" t="s">
        <v>199</v>
      </c>
      <c r="D2" s="105" t="s">
        <v>200</v>
      </c>
      <c r="E2" s="106" t="s">
        <v>10</v>
      </c>
      <c r="G2" s="101" t="s">
        <v>192</v>
      </c>
      <c r="H2" s="102" t="s">
        <v>193</v>
      </c>
      <c r="I2" s="104" t="s">
        <v>199</v>
      </c>
      <c r="J2" s="105" t="s">
        <v>200</v>
      </c>
      <c r="K2" s="106" t="s">
        <v>10</v>
      </c>
      <c r="M2" s="101" t="s">
        <v>192</v>
      </c>
      <c r="N2" s="102" t="s">
        <v>193</v>
      </c>
      <c r="O2" s="104" t="s">
        <v>199</v>
      </c>
      <c r="P2" s="105" t="s">
        <v>200</v>
      </c>
      <c r="Q2" s="106" t="s">
        <v>10</v>
      </c>
      <c r="S2" s="101" t="s">
        <v>192</v>
      </c>
      <c r="T2" s="102" t="s">
        <v>193</v>
      </c>
      <c r="U2" s="104" t="s">
        <v>199</v>
      </c>
      <c r="V2" s="105" t="s">
        <v>200</v>
      </c>
      <c r="W2" s="106" t="s">
        <v>10</v>
      </c>
      <c r="Y2" s="101" t="s">
        <v>192</v>
      </c>
      <c r="Z2" s="102" t="s">
        <v>193</v>
      </c>
      <c r="AA2" s="104" t="s">
        <v>199</v>
      </c>
      <c r="AB2" s="105" t="s">
        <v>200</v>
      </c>
      <c r="AC2" s="106" t="s">
        <v>10</v>
      </c>
      <c r="AE2" s="101" t="s">
        <v>192</v>
      </c>
      <c r="AF2" s="102" t="s">
        <v>193</v>
      </c>
      <c r="AG2" s="104" t="s">
        <v>199</v>
      </c>
      <c r="AH2" s="105" t="s">
        <v>200</v>
      </c>
      <c r="AI2" s="106" t="s">
        <v>10</v>
      </c>
    </row>
    <row r="3" spans="1:35">
      <c r="A3" s="103" t="s">
        <v>194</v>
      </c>
      <c r="B3" s="157" t="s">
        <v>195</v>
      </c>
      <c r="C3" s="103"/>
      <c r="D3" s="176">
        <v>125000</v>
      </c>
      <c r="E3" s="108">
        <f>+D3+C3</f>
        <v>125000</v>
      </c>
      <c r="G3" s="103" t="s">
        <v>194</v>
      </c>
      <c r="H3" s="157" t="s">
        <v>195</v>
      </c>
      <c r="I3" s="103"/>
      <c r="J3" s="176">
        <v>125000</v>
      </c>
      <c r="K3" s="108">
        <f>+J3+I3</f>
        <v>125000</v>
      </c>
      <c r="M3" s="103" t="s">
        <v>194</v>
      </c>
      <c r="N3" s="157" t="s">
        <v>195</v>
      </c>
      <c r="O3" s="103"/>
      <c r="P3" s="176">
        <v>125000</v>
      </c>
      <c r="Q3" s="108">
        <f>+P3+O3</f>
        <v>125000</v>
      </c>
      <c r="S3" s="103" t="s">
        <v>194</v>
      </c>
      <c r="T3" s="157" t="s">
        <v>195</v>
      </c>
      <c r="U3" s="103"/>
      <c r="V3" s="107">
        <v>125000</v>
      </c>
      <c r="W3" s="108">
        <f>+V3+U3</f>
        <v>125000</v>
      </c>
      <c r="Y3" s="103" t="s">
        <v>194</v>
      </c>
      <c r="Z3" s="157" t="s">
        <v>195</v>
      </c>
      <c r="AA3" s="103"/>
      <c r="AB3" s="107">
        <v>125000</v>
      </c>
      <c r="AC3" s="108">
        <f>+AB3+AA3</f>
        <v>125000</v>
      </c>
      <c r="AE3" s="103" t="s">
        <v>194</v>
      </c>
      <c r="AF3" s="157" t="s">
        <v>195</v>
      </c>
      <c r="AG3" s="103">
        <f>+C3-O3</f>
        <v>0</v>
      </c>
      <c r="AH3" s="103">
        <f>+D3-P3</f>
        <v>0</v>
      </c>
      <c r="AI3" s="180">
        <f>SUM(AG3:AH3)</f>
        <v>0</v>
      </c>
    </row>
    <row r="4" spans="1:35">
      <c r="A4" s="103" t="s">
        <v>194</v>
      </c>
      <c r="B4" s="157" t="s">
        <v>196</v>
      </c>
      <c r="C4" s="177">
        <f>ROUND(I4*1.02,0)</f>
        <v>163020</v>
      </c>
      <c r="D4" s="107"/>
      <c r="E4" s="108">
        <f>+D4+C4</f>
        <v>163020</v>
      </c>
      <c r="G4" s="103" t="s">
        <v>194</v>
      </c>
      <c r="H4" s="157" t="s">
        <v>196</v>
      </c>
      <c r="I4" s="177">
        <f>163839-I5</f>
        <v>159823.32</v>
      </c>
      <c r="J4" s="107"/>
      <c r="K4" s="108">
        <f>+J4+I4</f>
        <v>159823.32</v>
      </c>
      <c r="M4" s="103" t="s">
        <v>194</v>
      </c>
      <c r="N4" s="157" t="s">
        <v>196</v>
      </c>
      <c r="O4" s="177">
        <f>160627-O5</f>
        <v>156611.32500000001</v>
      </c>
      <c r="P4" s="107"/>
      <c r="Q4" s="108">
        <f>+P4+O4</f>
        <v>156611.32500000001</v>
      </c>
      <c r="S4" s="103" t="s">
        <v>194</v>
      </c>
      <c r="T4" s="157" t="s">
        <v>196</v>
      </c>
      <c r="U4" s="103">
        <v>153540</v>
      </c>
      <c r="V4" s="107"/>
      <c r="W4" s="108">
        <f>+V4+U4</f>
        <v>153540</v>
      </c>
      <c r="Y4" s="103" t="s">
        <v>194</v>
      </c>
      <c r="Z4" s="157" t="s">
        <v>196</v>
      </c>
      <c r="AA4" s="103">
        <v>150530</v>
      </c>
      <c r="AB4" s="107"/>
      <c r="AC4" s="108">
        <f>+AB4+AA4</f>
        <v>150530</v>
      </c>
      <c r="AE4" s="103" t="s">
        <v>194</v>
      </c>
      <c r="AF4" s="157" t="s">
        <v>196</v>
      </c>
      <c r="AG4" s="103">
        <f>+C4-O4</f>
        <v>6408.6749999999884</v>
      </c>
      <c r="AH4" s="103">
        <f t="shared" ref="AH4:AH9" si="0">+D4-P4</f>
        <v>0</v>
      </c>
      <c r="AI4" s="180">
        <f t="shared" ref="AI4:AI10" si="1">SUM(AG4:AH4)</f>
        <v>6408.6749999999884</v>
      </c>
    </row>
    <row r="5" spans="1:35">
      <c r="A5" s="103" t="s">
        <v>194</v>
      </c>
      <c r="B5" s="157" t="s">
        <v>209</v>
      </c>
      <c r="C5" s="177">
        <f>ROUND(I5*1.02,0)</f>
        <v>4096</v>
      </c>
      <c r="D5" s="107"/>
      <c r="E5" s="108">
        <f t="shared" ref="E5:E10" si="2">+D5+C5</f>
        <v>4096</v>
      </c>
      <c r="G5" s="103" t="s">
        <v>194</v>
      </c>
      <c r="H5" s="157" t="s">
        <v>209</v>
      </c>
      <c r="I5" s="177">
        <f>ROUNDUP(4015.675,2)</f>
        <v>4015.6800000000003</v>
      </c>
      <c r="J5" s="107"/>
      <c r="K5" s="108">
        <f t="shared" ref="K5:K10" si="3">+J5+I5</f>
        <v>4015.6800000000003</v>
      </c>
      <c r="M5" s="103" t="s">
        <v>194</v>
      </c>
      <c r="N5" s="157" t="s">
        <v>209</v>
      </c>
      <c r="O5" s="177">
        <v>4015.6750000000002</v>
      </c>
      <c r="P5" s="107"/>
      <c r="Q5" s="108">
        <f t="shared" ref="Q5:Q10" si="4">+P5+O5</f>
        <v>4015.6750000000002</v>
      </c>
      <c r="S5" s="103" t="s">
        <v>194</v>
      </c>
      <c r="T5" s="157" t="s">
        <v>209</v>
      </c>
      <c r="U5" s="103">
        <v>3937</v>
      </c>
      <c r="V5" s="107"/>
      <c r="W5" s="108">
        <f t="shared" ref="W5:W10" si="5">+V5+U5</f>
        <v>3937</v>
      </c>
      <c r="Y5" s="103" t="s">
        <v>194</v>
      </c>
      <c r="Z5" s="157" t="s">
        <v>209</v>
      </c>
      <c r="AA5" s="103">
        <v>3860</v>
      </c>
      <c r="AB5" s="107"/>
      <c r="AC5" s="108">
        <f t="shared" ref="AC5:AC8" si="6">+AB5+AA5</f>
        <v>3860</v>
      </c>
      <c r="AE5" s="103" t="s">
        <v>194</v>
      </c>
      <c r="AF5" s="157" t="s">
        <v>209</v>
      </c>
      <c r="AG5" s="103">
        <f t="shared" ref="AG5:AG10" si="7">+C5-O5</f>
        <v>80.324999999999818</v>
      </c>
      <c r="AH5" s="103">
        <f t="shared" si="0"/>
        <v>0</v>
      </c>
      <c r="AI5" s="180">
        <f t="shared" si="1"/>
        <v>80.324999999999818</v>
      </c>
    </row>
    <row r="6" spans="1:35">
      <c r="A6" s="103" t="s">
        <v>194</v>
      </c>
      <c r="B6" s="157" t="s">
        <v>217</v>
      </c>
      <c r="C6" s="103"/>
      <c r="D6" s="176">
        <v>0</v>
      </c>
      <c r="E6" s="108">
        <f t="shared" si="2"/>
        <v>0</v>
      </c>
      <c r="G6" s="103" t="s">
        <v>194</v>
      </c>
      <c r="H6" s="157" t="s">
        <v>217</v>
      </c>
      <c r="I6" s="103"/>
      <c r="J6" s="176">
        <v>0</v>
      </c>
      <c r="K6" s="108">
        <f t="shared" si="3"/>
        <v>0</v>
      </c>
      <c r="M6" s="103" t="s">
        <v>194</v>
      </c>
      <c r="N6" s="157" t="s">
        <v>217</v>
      </c>
      <c r="O6" s="103"/>
      <c r="P6" s="176">
        <v>0</v>
      </c>
      <c r="Q6" s="108">
        <f t="shared" si="4"/>
        <v>0</v>
      </c>
      <c r="S6" s="103" t="s">
        <v>194</v>
      </c>
      <c r="T6" s="157" t="s">
        <v>217</v>
      </c>
      <c r="U6" s="103"/>
      <c r="V6" s="107">
        <v>0</v>
      </c>
      <c r="W6" s="108">
        <f t="shared" si="5"/>
        <v>0</v>
      </c>
      <c r="Y6" s="103" t="s">
        <v>194</v>
      </c>
      <c r="Z6" s="157" t="s">
        <v>217</v>
      </c>
      <c r="AA6" s="103"/>
      <c r="AB6" s="107">
        <v>0</v>
      </c>
      <c r="AC6" s="108">
        <f t="shared" si="6"/>
        <v>0</v>
      </c>
      <c r="AE6" s="103" t="s">
        <v>194</v>
      </c>
      <c r="AF6" s="157" t="s">
        <v>217</v>
      </c>
      <c r="AG6" s="103">
        <f t="shared" si="7"/>
        <v>0</v>
      </c>
      <c r="AH6" s="103">
        <f t="shared" si="0"/>
        <v>0</v>
      </c>
      <c r="AI6" s="180">
        <f t="shared" si="1"/>
        <v>0</v>
      </c>
    </row>
    <row r="7" spans="1:35">
      <c r="A7" s="103" t="s">
        <v>194</v>
      </c>
      <c r="B7" s="157" t="s">
        <v>218</v>
      </c>
      <c r="C7" s="103"/>
      <c r="D7" s="176">
        <v>151065</v>
      </c>
      <c r="E7" s="108">
        <f t="shared" si="2"/>
        <v>151065</v>
      </c>
      <c r="G7" s="103" t="s">
        <v>194</v>
      </c>
      <c r="H7" s="157" t="s">
        <v>218</v>
      </c>
      <c r="I7" s="103"/>
      <c r="J7" s="176">
        <v>151065</v>
      </c>
      <c r="K7" s="108">
        <f t="shared" si="3"/>
        <v>151065</v>
      </c>
      <c r="M7" s="103" t="s">
        <v>194</v>
      </c>
      <c r="N7" s="157" t="s">
        <v>218</v>
      </c>
      <c r="O7" s="103"/>
      <c r="P7" s="176">
        <v>58142</v>
      </c>
      <c r="Q7" s="108">
        <f t="shared" si="4"/>
        <v>58142</v>
      </c>
      <c r="S7" s="103" t="s">
        <v>194</v>
      </c>
      <c r="T7" s="157" t="s">
        <v>218</v>
      </c>
      <c r="U7" s="103"/>
      <c r="V7" s="107">
        <v>58142</v>
      </c>
      <c r="W7" s="108">
        <f t="shared" si="5"/>
        <v>58142</v>
      </c>
      <c r="Y7" s="103" t="s">
        <v>194</v>
      </c>
      <c r="Z7" s="157" t="s">
        <v>218</v>
      </c>
      <c r="AA7" s="103"/>
      <c r="AB7" s="107">
        <v>58142</v>
      </c>
      <c r="AC7" s="108">
        <f t="shared" si="6"/>
        <v>58142</v>
      </c>
      <c r="AE7" s="103" t="s">
        <v>194</v>
      </c>
      <c r="AF7" s="157" t="s">
        <v>218</v>
      </c>
      <c r="AG7" s="103">
        <f t="shared" si="7"/>
        <v>0</v>
      </c>
      <c r="AH7" s="103">
        <f t="shared" si="0"/>
        <v>92923</v>
      </c>
      <c r="AI7" s="180">
        <f t="shared" si="1"/>
        <v>92923</v>
      </c>
    </row>
    <row r="8" spans="1:35">
      <c r="A8" s="103" t="s">
        <v>194</v>
      </c>
      <c r="B8" s="157" t="s">
        <v>219</v>
      </c>
      <c r="C8" s="103"/>
      <c r="D8" s="176">
        <v>475562</v>
      </c>
      <c r="E8" s="108">
        <f t="shared" si="2"/>
        <v>475562</v>
      </c>
      <c r="G8" s="103" t="s">
        <v>194</v>
      </c>
      <c r="H8" s="157" t="s">
        <v>219</v>
      </c>
      <c r="I8" s="103"/>
      <c r="J8" s="176">
        <v>475562</v>
      </c>
      <c r="K8" s="108">
        <f t="shared" si="3"/>
        <v>475562</v>
      </c>
      <c r="M8" s="103" t="s">
        <v>194</v>
      </c>
      <c r="N8" s="157" t="s">
        <v>219</v>
      </c>
      <c r="O8" s="103"/>
      <c r="P8" s="176">
        <v>461285</v>
      </c>
      <c r="Q8" s="108">
        <f t="shared" si="4"/>
        <v>461285</v>
      </c>
      <c r="S8" s="103" t="s">
        <v>194</v>
      </c>
      <c r="T8" s="157" t="s">
        <v>219</v>
      </c>
      <c r="U8" s="103"/>
      <c r="V8" s="107">
        <v>461285</v>
      </c>
      <c r="W8" s="108">
        <f t="shared" si="5"/>
        <v>461285</v>
      </c>
      <c r="Y8" s="103" t="s">
        <v>194</v>
      </c>
      <c r="Z8" s="157" t="s">
        <v>219</v>
      </c>
      <c r="AA8" s="103"/>
      <c r="AB8" s="107">
        <v>461285</v>
      </c>
      <c r="AC8" s="108">
        <f t="shared" si="6"/>
        <v>461285</v>
      </c>
      <c r="AE8" s="103" t="s">
        <v>194</v>
      </c>
      <c r="AF8" s="157" t="s">
        <v>219</v>
      </c>
      <c r="AG8" s="103">
        <f t="shared" si="7"/>
        <v>0</v>
      </c>
      <c r="AH8" s="103">
        <f>+D8-P8</f>
        <v>14277</v>
      </c>
      <c r="AI8" s="180">
        <f t="shared" si="1"/>
        <v>14277</v>
      </c>
    </row>
    <row r="9" spans="1:35">
      <c r="A9" s="103" t="s">
        <v>194</v>
      </c>
      <c r="B9" s="157" t="s">
        <v>220</v>
      </c>
      <c r="C9" s="103"/>
      <c r="D9" s="176">
        <v>332119</v>
      </c>
      <c r="E9" s="108">
        <f t="shared" si="2"/>
        <v>332119</v>
      </c>
      <c r="G9" s="103" t="s">
        <v>194</v>
      </c>
      <c r="H9" s="157" t="s">
        <v>220</v>
      </c>
      <c r="I9" s="103"/>
      <c r="J9" s="176">
        <v>332119</v>
      </c>
      <c r="K9" s="108">
        <f t="shared" si="3"/>
        <v>332119</v>
      </c>
      <c r="M9" s="103" t="s">
        <v>194</v>
      </c>
      <c r="N9" s="157" t="s">
        <v>220</v>
      </c>
      <c r="O9" s="103"/>
      <c r="P9" s="176">
        <v>166427</v>
      </c>
      <c r="Q9" s="108">
        <f t="shared" si="4"/>
        <v>166427</v>
      </c>
      <c r="S9" s="103" t="s">
        <v>194</v>
      </c>
      <c r="T9" s="157" t="s">
        <v>220</v>
      </c>
      <c r="U9" s="103"/>
      <c r="V9" s="107">
        <v>166427</v>
      </c>
      <c r="W9" s="108">
        <f t="shared" si="5"/>
        <v>166427</v>
      </c>
      <c r="Y9" s="103" t="s">
        <v>194</v>
      </c>
      <c r="Z9" s="157" t="s">
        <v>220</v>
      </c>
      <c r="AA9" s="103"/>
      <c r="AB9" s="107">
        <v>166427</v>
      </c>
      <c r="AC9" s="108">
        <f>+AB9+AA9</f>
        <v>166427</v>
      </c>
      <c r="AE9" s="103" t="s">
        <v>194</v>
      </c>
      <c r="AF9" s="157" t="s">
        <v>220</v>
      </c>
      <c r="AG9" s="103">
        <f t="shared" si="7"/>
        <v>0</v>
      </c>
      <c r="AH9" s="103">
        <f t="shared" si="0"/>
        <v>165692</v>
      </c>
      <c r="AI9" s="180">
        <f t="shared" si="1"/>
        <v>165692</v>
      </c>
    </row>
    <row r="10" spans="1:35">
      <c r="A10" s="103" t="s">
        <v>194</v>
      </c>
      <c r="B10" s="158" t="s">
        <v>221</v>
      </c>
      <c r="C10" s="177">
        <v>205007</v>
      </c>
      <c r="D10" s="132"/>
      <c r="E10" s="108">
        <f t="shared" si="2"/>
        <v>205007</v>
      </c>
      <c r="G10" s="103" t="s">
        <v>194</v>
      </c>
      <c r="H10" s="158" t="s">
        <v>221</v>
      </c>
      <c r="I10" s="177">
        <v>200987</v>
      </c>
      <c r="J10" s="132"/>
      <c r="K10" s="108">
        <f t="shared" si="3"/>
        <v>200987</v>
      </c>
      <c r="M10" s="103" t="s">
        <v>194</v>
      </c>
      <c r="N10" s="158" t="s">
        <v>221</v>
      </c>
      <c r="O10" s="177">
        <v>197046</v>
      </c>
      <c r="P10" s="132"/>
      <c r="Q10" s="108">
        <f t="shared" si="4"/>
        <v>197046</v>
      </c>
      <c r="S10" s="103" t="s">
        <v>194</v>
      </c>
      <c r="T10" s="158" t="s">
        <v>221</v>
      </c>
      <c r="U10" s="103">
        <v>198170</v>
      </c>
      <c r="V10" s="132"/>
      <c r="W10" s="108">
        <f t="shared" si="5"/>
        <v>198170</v>
      </c>
      <c r="Y10" s="103" t="s">
        <v>194</v>
      </c>
      <c r="Z10" s="158" t="s">
        <v>221</v>
      </c>
      <c r="AA10" s="103">
        <v>194284</v>
      </c>
      <c r="AB10" s="132"/>
      <c r="AC10" s="108">
        <f>+AB10+AA10</f>
        <v>194284</v>
      </c>
      <c r="AE10" s="103" t="s">
        <v>194</v>
      </c>
      <c r="AF10" s="158" t="s">
        <v>221</v>
      </c>
      <c r="AG10" s="103">
        <f t="shared" si="7"/>
        <v>7961</v>
      </c>
      <c r="AH10" s="103">
        <f>+D10-P10</f>
        <v>0</v>
      </c>
      <c r="AI10" s="180">
        <f t="shared" si="1"/>
        <v>7961</v>
      </c>
    </row>
    <row r="11" spans="1:35">
      <c r="A11" s="103"/>
      <c r="B11" s="133" t="s">
        <v>197</v>
      </c>
      <c r="C11" s="134">
        <f>SUM(C3:C10)</f>
        <v>372123</v>
      </c>
      <c r="D11" s="134">
        <f>SUM(D3:D10)</f>
        <v>1083746</v>
      </c>
      <c r="E11" s="188">
        <f>SUM(E3:E10)</f>
        <v>1455869</v>
      </c>
      <c r="G11" s="103"/>
      <c r="H11" s="133" t="s">
        <v>197</v>
      </c>
      <c r="I11" s="134">
        <f>SUM(I3:I10)</f>
        <v>364826</v>
      </c>
      <c r="J11" s="134">
        <f>SUM(J3:J10)</f>
        <v>1083746</v>
      </c>
      <c r="K11" s="131">
        <f>SUM(K3:K10)</f>
        <v>1448572</v>
      </c>
      <c r="M11" s="103"/>
      <c r="N11" s="133" t="s">
        <v>197</v>
      </c>
      <c r="O11" s="134">
        <f>SUM(O3:O10)</f>
        <v>357673</v>
      </c>
      <c r="P11" s="134">
        <f>SUM(P3:P10)</f>
        <v>810854</v>
      </c>
      <c r="Q11" s="131">
        <f>SUM(Q3:Q10)</f>
        <v>1168527</v>
      </c>
      <c r="S11" s="103"/>
      <c r="T11" s="133" t="s">
        <v>197</v>
      </c>
      <c r="U11" s="134">
        <f>SUM(U3:U10)</f>
        <v>355647</v>
      </c>
      <c r="V11" s="134">
        <f>SUM(V3:V10)</f>
        <v>810854</v>
      </c>
      <c r="W11" s="131">
        <f>SUM(W3:W10)</f>
        <v>1166501</v>
      </c>
      <c r="Y11" s="103"/>
      <c r="Z11" s="133" t="s">
        <v>197</v>
      </c>
      <c r="AA11" s="134">
        <f>SUM(AA3:AA10)</f>
        <v>348674</v>
      </c>
      <c r="AB11" s="134">
        <f>SUM(AB3:AB10)</f>
        <v>810854</v>
      </c>
      <c r="AC11" s="169">
        <f>SUM(AC3:AC10)</f>
        <v>1159528</v>
      </c>
      <c r="AE11" s="103"/>
      <c r="AF11" s="133" t="s">
        <v>197</v>
      </c>
      <c r="AG11" s="103">
        <f>+C11-O11</f>
        <v>14450</v>
      </c>
      <c r="AH11" s="107">
        <f>+D11-P11</f>
        <v>272892</v>
      </c>
      <c r="AI11" s="169">
        <f>SUM(AI3:AI10)</f>
        <v>287342</v>
      </c>
    </row>
    <row r="12" spans="1:35" ht="15.75" thickBot="1">
      <c r="A12" s="135"/>
      <c r="B12" s="136" t="s">
        <v>198</v>
      </c>
      <c r="C12" s="226" t="s">
        <v>201</v>
      </c>
      <c r="D12" s="227"/>
      <c r="E12" s="189">
        <f>ROUND(E11*0.949,0)</f>
        <v>1381620</v>
      </c>
      <c r="G12" s="135"/>
      <c r="H12" s="136" t="s">
        <v>198</v>
      </c>
      <c r="I12" s="226" t="s">
        <v>201</v>
      </c>
      <c r="J12" s="227"/>
      <c r="K12" s="109">
        <f>K11*0.949</f>
        <v>1374694.828</v>
      </c>
      <c r="M12" s="135"/>
      <c r="N12" s="136" t="s">
        <v>198</v>
      </c>
      <c r="O12" s="226" t="s">
        <v>201</v>
      </c>
      <c r="P12" s="227"/>
      <c r="Q12" s="109">
        <f>Q11*0.949</f>
        <v>1108932.1229999999</v>
      </c>
      <c r="S12" s="135"/>
      <c r="T12" s="136" t="s">
        <v>198</v>
      </c>
      <c r="U12" s="226" t="s">
        <v>201</v>
      </c>
      <c r="V12" s="227"/>
      <c r="W12" s="109">
        <f>W11*0.949</f>
        <v>1107009.449</v>
      </c>
      <c r="Y12" s="135"/>
      <c r="Z12" s="136" t="s">
        <v>198</v>
      </c>
      <c r="AA12" s="226" t="s">
        <v>201</v>
      </c>
      <c r="AB12" s="227"/>
      <c r="AC12" s="109">
        <f>AC11*0.949</f>
        <v>1100392.0719999999</v>
      </c>
      <c r="AE12" s="135"/>
      <c r="AF12" s="136" t="s">
        <v>198</v>
      </c>
      <c r="AG12" s="226" t="s">
        <v>201</v>
      </c>
      <c r="AH12" s="227"/>
      <c r="AI12" s="109">
        <f>AI11*0.949</f>
        <v>272687.55799999996</v>
      </c>
    </row>
    <row r="13" spans="1:35">
      <c r="AI13" s="130"/>
    </row>
    <row r="14" spans="1:35">
      <c r="C14" t="s">
        <v>202</v>
      </c>
      <c r="I14" t="s">
        <v>202</v>
      </c>
      <c r="U14" t="s">
        <v>202</v>
      </c>
    </row>
    <row r="15" spans="1:35">
      <c r="C15" s="15">
        <f>E12-'Federal Funds Transactions'!Y5</f>
        <v>0</v>
      </c>
      <c r="D15" t="s">
        <v>203</v>
      </c>
      <c r="I15" s="15">
        <f>K12-'Federal Funds Transactions'!AE5</f>
        <v>1374694.828</v>
      </c>
      <c r="J15" t="s">
        <v>203</v>
      </c>
      <c r="O15" s="15"/>
      <c r="U15" s="15">
        <f>W12-'Federal Funds Transactions'!AE5</f>
        <v>1107009.449</v>
      </c>
      <c r="V15" t="s">
        <v>203</v>
      </c>
    </row>
    <row r="18" spans="2:11">
      <c r="E18" s="130"/>
      <c r="K18" s="130"/>
    </row>
    <row r="19" spans="2:11">
      <c r="B19" s="183"/>
      <c r="H19" s="183"/>
    </row>
    <row r="22" spans="2:11">
      <c r="C22" s="130"/>
    </row>
    <row r="23" spans="2:11">
      <c r="B23" s="184"/>
      <c r="H23" s="184"/>
    </row>
  </sheetData>
  <mergeCells count="18">
    <mergeCell ref="A1:B1"/>
    <mergeCell ref="C1:E1"/>
    <mergeCell ref="C12:D12"/>
    <mergeCell ref="Y1:Z1"/>
    <mergeCell ref="AA1:AC1"/>
    <mergeCell ref="AA12:AB12"/>
    <mergeCell ref="S1:T1"/>
    <mergeCell ref="U1:W1"/>
    <mergeCell ref="U12:V12"/>
    <mergeCell ref="M1:N1"/>
    <mergeCell ref="O1:Q1"/>
    <mergeCell ref="O12:P12"/>
    <mergeCell ref="G1:H1"/>
    <mergeCell ref="I1:K1"/>
    <mergeCell ref="I12:J12"/>
    <mergeCell ref="AE1:AF1"/>
    <mergeCell ref="AG1:AI1"/>
    <mergeCell ref="AG12:AH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2014-07-03T17:00:58Z</cp:lastPrinted>
  <dcterms:created xsi:type="dcterms:W3CDTF">2013-05-11T20:19:37Z</dcterms:created>
  <dcterms:modified xsi:type="dcterms:W3CDTF">2026-01-15T20:17:17Z</dcterms:modified>
</cp:coreProperties>
</file>